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Тариф для ОСС_жилье" sheetId="1" state="visible" r:id="rId2"/>
    <sheet name="Тариф для ОСС_нежилье" sheetId="2" state="visible" r:id="rId3"/>
    <sheet name="Тариф для ОСС_паркинг" sheetId="3" state="visible" r:id="rId4"/>
    <sheet name="Достаточность по ОСС" sheetId="4" state="visible" r:id="rId5"/>
    <sheet name="Достаточность по бюджету" sheetId="5" state="visible" r:id="rId6"/>
    <sheet name="Разъяснения" sheetId="6" state="visible" r:id="rId7"/>
    <sheet name="Уборка, сан.сод." sheetId="7" state="visible" r:id="rId8"/>
    <sheet name="Лифты_формула" sheetId="8" state="visible" r:id="rId9"/>
    <sheet name="Лифты_расходы" sheetId="9" state="visible" r:id="rId10"/>
    <sheet name="Слаб., тепл.системы" sheetId="10" state="visible" r:id="rId11"/>
  </sheets>
  <externalReferences>
    <externalReference r:id="rId1"/>
  </externalReferences>
  <definedNames>
    <definedName name="f" localSheetId="0" hidden="1">#REF!</definedName>
    <definedName name="Z_0885457D_12CF_4923_864D_998BA35CE01D_.wvu.Cols" localSheetId="0" hidden="1">#REF!</definedName>
    <definedName name="Z_0885457D_12CF_4923_864D_998BA35CE01D_.wvu.Rows" localSheetId="0" hidden="1">#REF!</definedName>
    <definedName name="Z_144EA558_4B8B_4239_858D_3D3B320E64FA_.wvu.Cols" localSheetId="0" hidden="1">#REF!</definedName>
    <definedName name="Z_144EA558_4B8B_4239_858D_3D3B320E64FA_.wvu.PrintArea" localSheetId="0" hidden="1">#REF!</definedName>
    <definedName name="Z_2D3F4D39_1D20_491A_8BE9_2F4C8E41EE2A_.wvu.Cols" localSheetId="0" hidden="1">#REF!</definedName>
    <definedName name="Август" localSheetId="0" hidden="1">#REF!</definedName>
    <definedName name="лазурное" localSheetId="0">#REF!</definedName>
    <definedName name="мир" localSheetId="0">#REF!</definedName>
    <definedName name="монблан" localSheetId="0" hidden="1">#REF!</definedName>
    <definedName name="_xlnm.Print_Area" localSheetId="0">'Тариф для ОСС_жилье'!$A$1:$G$32</definedName>
    <definedName name="ппп" localSheetId="0">#REF!</definedName>
    <definedName name="х_265" localSheetId="0" hidden="1">#REF!</definedName>
    <definedName name="юз" localSheetId="0" hidden="1">#REF!</definedName>
    <definedName name="f" localSheetId="1" hidden="1">#REF!</definedName>
    <definedName name="Z_0885457D_12CF_4923_864D_998BA35CE01D_.wvu.Cols" localSheetId="1" hidden="1">#REF!</definedName>
    <definedName name="Z_0885457D_12CF_4923_864D_998BA35CE01D_.wvu.Rows" localSheetId="1" hidden="1">#REF!</definedName>
    <definedName name="Z_144EA558_4B8B_4239_858D_3D3B320E64FA_.wvu.Cols" localSheetId="1" hidden="1">#REF!</definedName>
    <definedName name="Z_144EA558_4B8B_4239_858D_3D3B320E64FA_.wvu.PrintArea" localSheetId="1" hidden="1">#REF!</definedName>
    <definedName name="Z_2D3F4D39_1D20_491A_8BE9_2F4C8E41EE2A_.wvu.Cols" localSheetId="1" hidden="1">#REF!</definedName>
    <definedName name="Август" localSheetId="1" hidden="1">#REF!</definedName>
    <definedName name="лазурное" localSheetId="1">#REF!</definedName>
    <definedName name="мир" localSheetId="1">#REF!</definedName>
    <definedName name="монблан" localSheetId="1" hidden="1">#REF!</definedName>
    <definedName name="_xlnm.Print_Area" localSheetId="1">'Тариф для ОСС_нежилье'!$A$1:$G$22</definedName>
    <definedName name="ппп" localSheetId="1">#REF!</definedName>
    <definedName name="х_265" localSheetId="1" hidden="1">#REF!</definedName>
    <definedName name="юз" localSheetId="1" hidden="1">#REF!</definedName>
    <definedName name="f" localSheetId="2" hidden="1">#REF!</definedName>
    <definedName name="Z_0885457D_12CF_4923_864D_998BA35CE01D_.wvu.Cols" localSheetId="2" hidden="1">#REF!</definedName>
    <definedName name="Z_0885457D_12CF_4923_864D_998BA35CE01D_.wvu.Rows" localSheetId="2" hidden="1">#REF!</definedName>
    <definedName name="Z_144EA558_4B8B_4239_858D_3D3B320E64FA_.wvu.Cols" localSheetId="2" hidden="1">#REF!</definedName>
    <definedName name="Z_144EA558_4B8B_4239_858D_3D3B320E64FA_.wvu.PrintArea" localSheetId="2" hidden="1">#REF!</definedName>
    <definedName name="Z_2D3F4D39_1D20_491A_8BE9_2F4C8E41EE2A_.wvu.Cols" localSheetId="2" hidden="1">#REF!</definedName>
    <definedName name="Август" localSheetId="2" hidden="1">#REF!</definedName>
    <definedName name="лазурное" localSheetId="2">#REF!</definedName>
    <definedName name="мир" localSheetId="2">#REF!</definedName>
    <definedName name="монблан" localSheetId="2" hidden="1">#REF!</definedName>
    <definedName name="_xlnm.Print_Area" localSheetId="2">'Тариф для ОСС_паркинг'!$A$4:$G$24</definedName>
    <definedName name="х_265" localSheetId="2" hidden="1">#REF!</definedName>
    <definedName name="юз" localSheetId="2" hidden="1">#REF!</definedName>
    <definedName name="EUR_C" localSheetId="3">#REF!</definedName>
    <definedName name="EUR_O" localSheetId="3">#REF!</definedName>
    <definedName name="Excel_BuiltIn_Print_Area" localSheetId="3">#REF!</definedName>
    <definedName name="f" localSheetId="3" hidden="1">#REF!</definedName>
    <definedName name="_xlnm.Print_Area" localSheetId="3">#REF!</definedName>
    <definedName name="USD_C" localSheetId="3">#REF!</definedName>
    <definedName name="USD_O" localSheetId="3">#REF!</definedName>
    <definedName name="Z_0885457D_12CF_4923_864D_998BA35CE01D_.wvu.Cols" localSheetId="3" hidden="1">#REF!</definedName>
    <definedName name="Z_0885457D_12CF_4923_864D_998BA35CE01D_.wvu.Rows" localSheetId="3" hidden="1">#REF!</definedName>
    <definedName name="Z_0885457D_12CF_4923_864D_998BA35CE01D__wvu_Cols" localSheetId="3">(#REF!,#REF!)</definedName>
    <definedName name="Z_0885457D_12CF_4923_864D_998BA35CE01D__wvu_Rows" localSheetId="3">(#REF!,#REF!,#REF!)</definedName>
    <definedName name="Z_144EA558_4B8B_4239_858D_3D3B320E64FA_.wvu.Cols" localSheetId="3" hidden="1">#REF!</definedName>
    <definedName name="Z_144EA558_4B8B_4239_858D_3D3B320E64FA_.wvu.PrintArea" localSheetId="3" hidden="1">#REF!</definedName>
    <definedName name="Z_144EA558_4B8B_4239_858D_3D3B320E64FA__wvu_Cols" localSheetId="3">(#REF!,#REF!)</definedName>
    <definedName name="Z_144EA558_4B8B_4239_858D_3D3B320E64FA__wvu_PrintArea" localSheetId="3">#REF!</definedName>
    <definedName name="Z_2D3F4D39_1D20_491A_8BE9_2F4C8E41EE2A_.wvu.Cols" localSheetId="3" hidden="1">#REF!</definedName>
    <definedName name="Z_2D3F4D39_1D20_491A_8BE9_2F4C8E41EE2A__wvu_Cols" localSheetId="3">#REF!</definedName>
    <definedName name="ZSER" localSheetId="3" hidden="1">#REF!</definedName>
    <definedName name="аа" localSheetId="3">#REF!</definedName>
    <definedName name="Август" localSheetId="3" hidden="1">#REF!</definedName>
    <definedName name="АУП_01" localSheetId="3">#REF!</definedName>
    <definedName name="БДР_12" localSheetId="3" hidden="1">#REF!</definedName>
    <definedName name="БДР_2011" localSheetId="3">#REF!</definedName>
    <definedName name="варш" localSheetId="3">#REF!</definedName>
    <definedName name="газ" localSheetId="3">#REF!</definedName>
    <definedName name="Евро" localSheetId="3">#NAME?</definedName>
    <definedName name="еееееее" localSheetId="3" hidden="1">#REF!</definedName>
    <definedName name="ж58545" localSheetId="3">#REF!</definedName>
    <definedName name="Иностранцы" localSheetId="3" hidden="1">#REF!</definedName>
    <definedName name="ккк" localSheetId="3">#REF!</definedName>
    <definedName name="лазурное" localSheetId="3">#REF!</definedName>
    <definedName name="МАЙ" localSheetId="3">#REF!</definedName>
    <definedName name="мир" localSheetId="3">#REF!</definedName>
    <definedName name="монблан" localSheetId="3" hidden="1">#REF!</definedName>
    <definedName name="НДС" localSheetId="3">#REF!</definedName>
    <definedName name="новый" localSheetId="3" hidden="1">#REF!</definedName>
    <definedName name="объектымай" localSheetId="3" hidden="1">#REF!</definedName>
    <definedName name="пмарплго" localSheetId="3" hidden="1">#REF!</definedName>
    <definedName name="ппп" localSheetId="3">#REF!</definedName>
    <definedName name="пр" localSheetId="3" hidden="1">#REF!</definedName>
    <definedName name="ррррр" localSheetId="3" hidden="1">#REF!</definedName>
    <definedName name="срочные" localSheetId="3">#NAME?</definedName>
    <definedName name="тося" localSheetId="3">#REF!</definedName>
    <definedName name="ф" localSheetId="3">#REF!</definedName>
    <definedName name="ФОТобъектымай" localSheetId="3" hidden="1">#REF!</definedName>
    <definedName name="х_265" localSheetId="3" hidden="1">#REF!</definedName>
    <definedName name="юз" localSheetId="3" hidden="1">#REF!</definedName>
    <definedName name="ЮЗ13" localSheetId="3" hidden="1">#REF!</definedName>
    <definedName name="ююююююююююююю" localSheetId="3">#REF!</definedName>
    <definedName name="EUR_C" localSheetId="4">#REF!</definedName>
    <definedName name="EUR_O" localSheetId="4">#REF!</definedName>
    <definedName name="Excel_BuiltIn_Print_Area" localSheetId="4">#REF!</definedName>
    <definedName name="f" localSheetId="4" hidden="1">#REF!</definedName>
    <definedName name="USD_C" localSheetId="4">#REF!</definedName>
    <definedName name="USD_O" localSheetId="4">#REF!</definedName>
    <definedName name="Z_0885457D_12CF_4923_864D_998BA35CE01D_.wvu.Cols" localSheetId="4" hidden="1">#REF!</definedName>
    <definedName name="Z_0885457D_12CF_4923_864D_998BA35CE01D_.wvu.Rows" localSheetId="4" hidden="1">#REF!</definedName>
    <definedName name="Z_0885457D_12CF_4923_864D_998BA35CE01D__wvu_Cols" localSheetId="4">(#REF!,#REF!)</definedName>
    <definedName name="Z_0885457D_12CF_4923_864D_998BA35CE01D__wvu_Rows" localSheetId="4">(#REF!,#REF!,#REF!)</definedName>
    <definedName name="Z_144EA558_4B8B_4239_858D_3D3B320E64FA_.wvu.Cols" localSheetId="4" hidden="1">#REF!</definedName>
    <definedName name="Z_144EA558_4B8B_4239_858D_3D3B320E64FA_.wvu.PrintArea" localSheetId="4" hidden="1">#REF!</definedName>
    <definedName name="Z_144EA558_4B8B_4239_858D_3D3B320E64FA__wvu_Cols" localSheetId="4">(#REF!,#REF!)</definedName>
    <definedName name="Z_144EA558_4B8B_4239_858D_3D3B320E64FA__wvu_PrintArea" localSheetId="4">#REF!</definedName>
    <definedName name="Z_2D3F4D39_1D20_491A_8BE9_2F4C8E41EE2A_.wvu.Cols" localSheetId="4" hidden="1">#REF!</definedName>
    <definedName name="Z_2D3F4D39_1D20_491A_8BE9_2F4C8E41EE2A__wvu_Cols" localSheetId="4">#REF!</definedName>
    <definedName name="ZSER" localSheetId="4" hidden="1">#REF!</definedName>
    <definedName name="аа" localSheetId="4">#REF!</definedName>
    <definedName name="Август" localSheetId="4" hidden="1">#REF!</definedName>
    <definedName name="АУП_01" localSheetId="4">#REF!</definedName>
    <definedName name="БДР_12" localSheetId="4" hidden="1">#REF!</definedName>
    <definedName name="БДР_2011" localSheetId="4">#REF!</definedName>
    <definedName name="газ" localSheetId="4">#REF!</definedName>
    <definedName name="Евро" localSheetId="4">#NAME?</definedName>
    <definedName name="еееееее" localSheetId="4" hidden="1">#REF!</definedName>
    <definedName name="Иностранцы" localSheetId="4" hidden="1">#REF!</definedName>
    <definedName name="ккк" localSheetId="4">#REF!</definedName>
    <definedName name="лазурное" localSheetId="4">#REF!</definedName>
    <definedName name="МАЙ" localSheetId="4">#REF!</definedName>
    <definedName name="мир" localSheetId="4">#REF!</definedName>
    <definedName name="монблан" localSheetId="4" hidden="1">#REF!</definedName>
    <definedName name="НДС" localSheetId="4">#REF!</definedName>
    <definedName name="новый" localSheetId="4" hidden="1">#REF!</definedName>
    <definedName name="_xlnm.Print_Area" localSheetId="4">#REF!</definedName>
    <definedName name="объектымай" localSheetId="4" hidden="1">#REF!</definedName>
    <definedName name="пмарплго" localSheetId="4" hidden="1">#REF!</definedName>
    <definedName name="ппп" localSheetId="4">#REF!</definedName>
    <definedName name="пр" localSheetId="4" hidden="1">#REF!</definedName>
    <definedName name="ррррр" localSheetId="4" hidden="1">#REF!</definedName>
    <definedName name="срочные" localSheetId="4">#NAME?</definedName>
    <definedName name="тося" localSheetId="4">#REF!</definedName>
    <definedName name="ф" localSheetId="4">#REF!</definedName>
    <definedName name="ФОТобъектымай" localSheetId="4" hidden="1">#REF!</definedName>
    <definedName name="х_265" localSheetId="4" hidden="1">#REF!</definedName>
    <definedName name="юз" localSheetId="4" hidden="1">#REF!</definedName>
    <definedName name="ЮЗ13" localSheetId="4" hidden="1">#REF!</definedName>
    <definedName name="ююююююююююююю" localSheetId="4">#REF!</definedName>
    <definedName name="EUR_C" localSheetId="5">#REF!</definedName>
    <definedName name="EUR_O" localSheetId="5">#REF!</definedName>
    <definedName name="f" localSheetId="5" hidden="1">#REF!</definedName>
    <definedName name="USD_C" localSheetId="5">#REF!</definedName>
    <definedName name="USD_O" localSheetId="5">#REF!</definedName>
    <definedName name="Z_0885457D_12CF_4923_864D_998BA35CE01D_.wvu.Cols" localSheetId="5" hidden="1">#REF!</definedName>
    <definedName name="Z_0885457D_12CF_4923_864D_998BA35CE01D_.wvu.Rows" localSheetId="5" hidden="1">#REF!</definedName>
    <definedName name="Z_144EA558_4B8B_4239_858D_3D3B320E64FA_.wvu.Cols" localSheetId="5" hidden="1">#REF!</definedName>
    <definedName name="Z_144EA558_4B8B_4239_858D_3D3B320E64FA_.wvu.PrintArea" localSheetId="5" hidden="1">#REF!</definedName>
    <definedName name="Z_2D3F4D39_1D20_491A_8BE9_2F4C8E41EE2A_.wvu.Cols" localSheetId="5" hidden="1">#REF!</definedName>
    <definedName name="ZSER" localSheetId="5" hidden="1">#REF!</definedName>
    <definedName name="аа" localSheetId="5">#REF!</definedName>
    <definedName name="Август" localSheetId="5" hidden="1">#REF!</definedName>
    <definedName name="АУП_01" localSheetId="5">#REF!</definedName>
    <definedName name="БДР_12" localSheetId="5" hidden="1">#REF!</definedName>
    <definedName name="БДР_2011" localSheetId="5">#REF!</definedName>
    <definedName name="газ" localSheetId="5">#REF!</definedName>
    <definedName name="Евро" localSheetId="5">#NAME?</definedName>
    <definedName name="еееееее" localSheetId="5" hidden="1">#REF!</definedName>
    <definedName name="Иностранцы" localSheetId="5" hidden="1">#REF!</definedName>
    <definedName name="ккк" localSheetId="5">#REF!</definedName>
    <definedName name="лазурное" localSheetId="5">#REF!</definedName>
    <definedName name="МАЙ" localSheetId="5">#REF!</definedName>
    <definedName name="мир" localSheetId="5">#REF!</definedName>
    <definedName name="монблан" localSheetId="5" hidden="1">#REF!</definedName>
    <definedName name="НДС" localSheetId="5">#REF!</definedName>
    <definedName name="новый" localSheetId="5" hidden="1">#REF!</definedName>
    <definedName name="_xlnm.Print_Area" localSheetId="5">#REF!</definedName>
    <definedName name="объектымай" localSheetId="5" hidden="1">#REF!</definedName>
    <definedName name="пмарплго" localSheetId="5" hidden="1">#REF!</definedName>
    <definedName name="ппп" localSheetId="5">#REF!</definedName>
    <definedName name="пр" localSheetId="5" hidden="1">#REF!</definedName>
    <definedName name="ррррр" localSheetId="5" hidden="1">#REF!</definedName>
    <definedName name="срочные" localSheetId="5">#NAME?</definedName>
    <definedName name="тося" localSheetId="5">#REF!</definedName>
    <definedName name="ф" localSheetId="5">#REF!</definedName>
    <definedName name="ФОТобъектымай" localSheetId="5" hidden="1">#REF!</definedName>
    <definedName name="х_265" localSheetId="5" hidden="1">#REF!</definedName>
    <definedName name="юз" localSheetId="5" hidden="1">#REF!</definedName>
    <definedName name="ЮЗ13" localSheetId="5" hidden="1">#REF!</definedName>
    <definedName name="ююююююююююююю" localSheetId="5">#REF!</definedName>
    <definedName name="EUR_C" localSheetId="6">#REF!</definedName>
    <definedName name="EUR_O" localSheetId="6">#REF!</definedName>
    <definedName name="f" localSheetId="6" hidden="1">#REF!</definedName>
    <definedName name="USD_C" localSheetId="6">#REF!</definedName>
    <definedName name="USD_O" localSheetId="6">#REF!</definedName>
    <definedName name="Z_0885457D_12CF_4923_864D_998BA35CE01D_.wvu.Cols" localSheetId="6" hidden="1">#REF!</definedName>
    <definedName name="Z_0885457D_12CF_4923_864D_998BA35CE01D_.wvu.Rows" localSheetId="6" hidden="1">#REF!</definedName>
    <definedName name="Z_144EA558_4B8B_4239_858D_3D3B320E64FA_.wvu.Cols" localSheetId="6" hidden="1">#REF!</definedName>
    <definedName name="Z_144EA558_4B8B_4239_858D_3D3B320E64FA_.wvu.PrintArea" localSheetId="6" hidden="1">#REF!</definedName>
    <definedName name="Z_2D3F4D39_1D20_491A_8BE9_2F4C8E41EE2A_.wvu.Cols" localSheetId="6" hidden="1">#REF!</definedName>
    <definedName name="ZSER" localSheetId="6" hidden="1">#REF!</definedName>
    <definedName name="аа" localSheetId="6">#REF!</definedName>
    <definedName name="Август" localSheetId="6" hidden="1">#REF!</definedName>
    <definedName name="АУП_01" localSheetId="6">#REF!</definedName>
    <definedName name="БДР_12" localSheetId="6" hidden="1">#REF!</definedName>
    <definedName name="БДР_2011" localSheetId="6">#REF!</definedName>
    <definedName name="газ" localSheetId="6">#REF!</definedName>
    <definedName name="Евро" localSheetId="6">#NAME?</definedName>
    <definedName name="еееееее" localSheetId="6" hidden="1">#REF!</definedName>
    <definedName name="Иностранцы" localSheetId="6" hidden="1">#REF!</definedName>
    <definedName name="ккк" localSheetId="6">#REF!</definedName>
    <definedName name="лазурное" localSheetId="6">#REF!</definedName>
    <definedName name="МАЙ" localSheetId="6">#REF!</definedName>
    <definedName name="мир" localSheetId="6">#REF!</definedName>
    <definedName name="монблан" localSheetId="6" hidden="1">#REF!</definedName>
    <definedName name="НДС" localSheetId="6">#REF!</definedName>
    <definedName name="новый" localSheetId="6" hidden="1">#REF!</definedName>
    <definedName name="_xlnm.Print_Area" localSheetId="6">#REF!</definedName>
    <definedName name="объектымай" localSheetId="6" hidden="1">#REF!</definedName>
    <definedName name="пмарплго" localSheetId="6" hidden="1">#REF!</definedName>
    <definedName name="ппп" localSheetId="6">#REF!</definedName>
    <definedName name="пр" localSheetId="6" hidden="1">#REF!</definedName>
    <definedName name="ррррр" localSheetId="6" hidden="1">#REF!</definedName>
    <definedName name="срочные" localSheetId="6">#NAME?</definedName>
    <definedName name="тося" localSheetId="6">#REF!</definedName>
    <definedName name="ф" localSheetId="6">#REF!</definedName>
    <definedName name="ФОТобъектымай" localSheetId="6" hidden="1">#REF!</definedName>
    <definedName name="х_265" localSheetId="6" hidden="1">#REF!</definedName>
    <definedName name="юз" localSheetId="6" hidden="1">#REF!</definedName>
    <definedName name="ЮЗ13" localSheetId="6" hidden="1">#REF!</definedName>
    <definedName name="ююююююююююююю" localSheetId="6">#REF!</definedName>
    <definedName name="EUR_C" localSheetId="7">#REF!</definedName>
    <definedName name="EUR_O" localSheetId="7">#REF!</definedName>
    <definedName name="Excel_BuiltIn_Print_Area" localSheetId="7">#REF!</definedName>
    <definedName name="f" localSheetId="7" hidden="1">#REF!</definedName>
    <definedName name="USD_C" localSheetId="7">#REF!</definedName>
    <definedName name="USD_O" localSheetId="7">#REF!</definedName>
    <definedName name="Z_0885457D_12CF_4923_864D_998BA35CE01D_.wvu.Cols" localSheetId="7" hidden="1">#REF!</definedName>
    <definedName name="Z_0885457D_12CF_4923_864D_998BA35CE01D_.wvu.Rows" localSheetId="7" hidden="1">#REF!</definedName>
    <definedName name="Z_0885457D_12CF_4923_864D_998BA35CE01D__wvu_Cols" localSheetId="7">(#REF!,#REF!)</definedName>
    <definedName name="Z_0885457D_12CF_4923_864D_998BA35CE01D__wvu_Rows" localSheetId="7">(#REF!,#REF!,#REF!)</definedName>
    <definedName name="Z_144EA558_4B8B_4239_858D_3D3B320E64FA_.wvu.Cols" localSheetId="7" hidden="1">#REF!</definedName>
    <definedName name="Z_144EA558_4B8B_4239_858D_3D3B320E64FA_.wvu.PrintArea" localSheetId="7" hidden="1">#REF!</definedName>
    <definedName name="Z_144EA558_4B8B_4239_858D_3D3B320E64FA__wvu_Cols" localSheetId="7">(#REF!,#REF!)</definedName>
    <definedName name="Z_144EA558_4B8B_4239_858D_3D3B320E64FA__wvu_PrintArea" localSheetId="7">#REF!</definedName>
    <definedName name="Z_2D3F4D39_1D20_491A_8BE9_2F4C8E41EE2A_.wvu.Cols" localSheetId="7" hidden="1">#REF!</definedName>
    <definedName name="Z_2D3F4D39_1D20_491A_8BE9_2F4C8E41EE2A__wvu_Cols" localSheetId="7">#REF!</definedName>
    <definedName name="ZSER" localSheetId="7" hidden="1">#REF!</definedName>
    <definedName name="аа" localSheetId="7">#REF!</definedName>
    <definedName name="Август" localSheetId="7" hidden="1">#REF!</definedName>
    <definedName name="АУП_01" localSheetId="7">#REF!</definedName>
    <definedName name="БДР_12" localSheetId="7" hidden="1">#REF!</definedName>
    <definedName name="БДР_2011" localSheetId="7">#REF!</definedName>
    <definedName name="газ" localSheetId="7">#REF!</definedName>
    <definedName name="Евро" localSheetId="7">#NAME?</definedName>
    <definedName name="еееееее" localSheetId="7" hidden="1">#REF!</definedName>
    <definedName name="Иностранцы" localSheetId="7" hidden="1">#REF!</definedName>
    <definedName name="ккк" localSheetId="7">#REF!</definedName>
    <definedName name="лазурное" localSheetId="7">#REF!</definedName>
    <definedName name="МАЙ" localSheetId="7">#REF!</definedName>
    <definedName name="мир" localSheetId="7">#REF!</definedName>
    <definedName name="монблан" localSheetId="7" hidden="1">#REF!</definedName>
    <definedName name="НДС" localSheetId="7">#REF!</definedName>
    <definedName name="новый" localSheetId="7" hidden="1">#REF!</definedName>
    <definedName name="_xlnm.Print_Area" localSheetId="7">#REF!</definedName>
    <definedName name="объектымай" localSheetId="7" hidden="1">#REF!</definedName>
    <definedName name="пмарплго" localSheetId="7" hidden="1">#REF!</definedName>
    <definedName name="ппп" localSheetId="7">#REF!</definedName>
    <definedName name="пр" localSheetId="7" hidden="1">#REF!</definedName>
    <definedName name="ррррр" localSheetId="7" hidden="1">#REF!</definedName>
    <definedName name="срочные" localSheetId="7">#NAME?</definedName>
    <definedName name="тося" localSheetId="7">#REF!</definedName>
    <definedName name="ф" localSheetId="7">#REF!</definedName>
    <definedName name="ФОТобъектымай" localSheetId="7" hidden="1">#REF!</definedName>
    <definedName name="х_265" localSheetId="7" hidden="1">#REF!</definedName>
    <definedName name="юз" localSheetId="7" hidden="1">#REF!</definedName>
    <definedName name="ЮЗ13" localSheetId="7" hidden="1">#REF!</definedName>
    <definedName name="ююююююююююююю" localSheetId="7">#REF!</definedName>
    <definedName name="_xlnm.Print_Area" localSheetId="9">#REF!</definedName>
    <definedName name="csDesignMode">1</definedName>
    <definedName name="EUR_C">#REF!</definedName>
    <definedName name="EUR_O">#REF!</definedName>
    <definedName name="Excel_BuiltIn_Print_Area">#REF!</definedName>
    <definedName name="f" hidden="1">#REF!</definedName>
    <definedName name="limcount" hidden="1">1</definedName>
    <definedName name="Print_Area">#REF!</definedName>
    <definedName name="USD_C">#REF!</definedName>
    <definedName name="USD_O">#REF!</definedName>
    <definedName name="Z_0885457D_12CF_4923_864D_998BA35CE01D_.wvu.Cols" hidden="1">#REF!</definedName>
    <definedName name="Z_0885457D_12CF_4923_864D_998BA35CE01D_.wvu.Rows" hidden="1">#REF!</definedName>
    <definedName name="Z_0885457D_12CF_4923_864D_998BA35CE01D__wvu_Cols">(#REF!,#REF!)</definedName>
    <definedName name="Z_0885457D_12CF_4923_864D_998BA35CE01D__wvu_Rows">(#REF!,#REF!,#REF!)</definedName>
    <definedName name="Z_144EA558_4B8B_4239_858D_3D3B320E64FA_.wvu.Cols" hidden="1">#REF!</definedName>
    <definedName name="Z_144EA558_4B8B_4239_858D_3D3B320E64FA_.wvu.PrintArea" hidden="1">#REF!</definedName>
    <definedName name="Z_144EA558_4B8B_4239_858D_3D3B320E64FA__wvu_Cols">(#REF!,#REF!)</definedName>
    <definedName name="Z_144EA558_4B8B_4239_858D_3D3B320E64FA__wvu_PrintArea">#REF!</definedName>
    <definedName name="Z_2D3F4D39_1D20_491A_8BE9_2F4C8E41EE2A_.wvu.Cols" hidden="1">#REF!</definedName>
    <definedName name="Z_2D3F4D39_1D20_491A_8BE9_2F4C8E41EE2A__wvu_Cols">#REF!</definedName>
    <definedName name="ZSER" hidden="1">#REF!</definedName>
    <definedName name="аа">#REF!</definedName>
    <definedName name="Август" hidden="1">#REF!</definedName>
    <definedName name="АУП_01">#REF!</definedName>
    <definedName name="БДР_12" hidden="1">#REF!</definedName>
    <definedName name="БДР_2011">#REF!</definedName>
    <definedName name="варш">#REF!</definedName>
    <definedName name="газ">#REF!</definedName>
    <definedName name="Евро">#NAME?</definedName>
    <definedName name="еееееее" hidden="1">#REF!</definedName>
    <definedName name="ж58545">#REF!</definedName>
    <definedName name="Иностранцы" hidden="1">#REF!</definedName>
    <definedName name="ккк">#REF!</definedName>
    <definedName name="лазурное">#REF!</definedName>
    <definedName name="МАЙ">#REF!</definedName>
    <definedName name="мир">#REF!</definedName>
    <definedName name="монблан" hidden="1">#REF!</definedName>
    <definedName name="НДС">#REF!</definedName>
    <definedName name="новый" hidden="1">#REF!</definedName>
    <definedName name="объектымай" hidden="1">#REF!</definedName>
    <definedName name="пмарплго" hidden="1">#REF!</definedName>
    <definedName name="ппп">#REF!</definedName>
    <definedName name="пр" hidden="1">#REF!</definedName>
    <definedName name="ррррр" hidden="1">#REF!</definedName>
    <definedName name="срочные">#NAME?</definedName>
    <definedName name="тося">#REF!</definedName>
    <definedName name="ф">#REF!</definedName>
    <definedName name="ФОТобъектымай" hidden="1">#REF!</definedName>
    <definedName name="х_265" hidden="1">#REF!</definedName>
    <definedName name="юз" hidden="1">#REF!</definedName>
    <definedName name="ЮЗ13" hidden="1">#REF!</definedName>
    <definedName name="ююююююююююююю">#REF!</definedName>
  </definedNames>
  <calcPr/>
</workbook>
</file>

<file path=xl/sharedStrings.xml><?xml version="1.0" encoding="utf-8"?>
<sst xmlns="http://schemas.openxmlformats.org/spreadsheetml/2006/main" count="225" uniqueCount="225">
  <si>
    <r>
      <rPr>
        <b/>
        <sz val="14"/>
        <rFont val="Arial Cyr"/>
      </rPr>
      <t xml:space="preserve">Приложение № 1</t>
    </r>
    <r>
      <rPr>
        <sz val="14"/>
        <rFont val="Arial Cyr"/>
      </rPr>
      <t xml:space="preserve"> к материалам собрания собственников.</t>
    </r>
  </si>
  <si>
    <r>
      <rPr>
        <b/>
        <sz val="14"/>
        <rFont val="Arial Cyr"/>
      </rPr>
      <t xml:space="preserve">Дата проведения собрания:</t>
    </r>
    <r>
      <rPr>
        <sz val="14"/>
        <rFont val="Arial Cyr"/>
      </rPr>
      <t xml:space="preserve"> с 27 ноября 2017 г. по 27 декабря 2017г. </t>
    </r>
  </si>
  <si>
    <t xml:space="preserve">Общество с ограниченной ответственностью</t>
  </si>
  <si>
    <t xml:space="preserve">УК "Сервис Экспресс"</t>
  </si>
  <si>
    <t>ПРЕЙСКУРАНТ</t>
  </si>
  <si>
    <t xml:space="preserve">ФОТ эл., сант., управл. Пом, мат сэ</t>
  </si>
  <si>
    <t xml:space="preserve">ТАРИФОВ И ЦЕН НА УСЛУГИ И РАБОТЫ</t>
  </si>
  <si>
    <t xml:space="preserve">для владельцев жилых помещений дома №  61 корп.1, лит.А, по проспекту Космонавтов </t>
  </si>
  <si>
    <t xml:space="preserve"> Площадь- 37415,20</t>
  </si>
  <si>
    <t>Наименование</t>
  </si>
  <si>
    <t xml:space="preserve">Ед. измерения (в месяц)</t>
  </si>
  <si>
    <t xml:space="preserve">Тариф действующий</t>
  </si>
  <si>
    <t xml:space="preserve">Тариф новый</t>
  </si>
  <si>
    <t xml:space="preserve">Отклонение, руб./м2</t>
  </si>
  <si>
    <t xml:space="preserve">Отклонение, %</t>
  </si>
  <si>
    <t>I</t>
  </si>
  <si>
    <t xml:space="preserve">Содержание и ремонт жилого помещения</t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</si>
  <si>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Содержание общего имущества многоквартирного дома</t>
    </r>
  </si>
  <si>
    <t xml:space="preserve">руб. /кв.м</t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</si>
  <si>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Текущий ремонт общего имущества многоквартирного дома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</si>
  <si>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Уборка мест общего пользования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</si>
  <si>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Санитарное содержание придомовой территории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</si>
  <si>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Сервисное обслуживание системы контроля управления доступом и видеонаблюдения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</si>
  <si>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Сервисное обслуживание систем автоматической противопожарной защиты 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</si>
  <si>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Сервисное обслуживание объединенных диспетчерских систем (ОДС)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</si>
  <si>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Сервисное обслуживание систем экстренного оповещения 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</si>
  <si>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Сервисное обслуживание, освидетельствование, страхование  лифтов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</si>
  <si>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Эксплуатация коллективных приборов учета тепловой энергии и горячей воды, оборудования ИТП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</si>
  <si>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Эксплуатация коллективных приборов учета холодной воды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</si>
  <si>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Эксплуатация коллективных приборов учета электрической энергии</t>
    </r>
  </si>
  <si>
    <r>
      <t>·</t>
    </r>
    <r>
      <rPr>
        <sz val="12"/>
        <color indexed="64"/>
        <rFont val="Times New Roman"/>
      </rPr>
      <t>  </t>
    </r>
    <r>
      <rPr>
        <i/>
        <sz val="12"/>
        <color indexed="64"/>
        <rFont val="Arial"/>
      </rPr>
      <t xml:space="preserve">Управление многоквартирным домом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</si>
  <si>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Служба регистрационного учета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</si>
  <si>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Служба консьерж-сервис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</si>
  <si>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Аварийно-диспетчерская служба</t>
    </r>
  </si>
  <si>
    <r>
      <t>·</t>
    </r>
    <r>
      <rPr>
        <sz val="12"/>
        <color indexed="64"/>
        <rFont val="Times New Roman"/>
      </rPr>
      <t xml:space="preserve">  </t>
    </r>
    <r>
      <rPr>
        <i/>
        <sz val="12"/>
        <color indexed="64"/>
        <rFont val="Arial"/>
      </rPr>
      <t xml:space="preserve">Вознаграждение за организацию предоставления и оплаты коммунальных услуг, формирование, накопление и контроль резервного фонда дома</t>
    </r>
  </si>
  <si>
    <r>
      <t xml:space="preserve">· </t>
    </r>
    <r>
      <rPr>
        <i/>
        <sz val="11"/>
        <color indexed="64"/>
        <rFont val="Arial"/>
      </rPr>
      <t xml:space="preserve">Обслуживание системы коллективного приёма телевидения</t>
    </r>
  </si>
  <si>
    <t>руб./отвод</t>
  </si>
  <si>
    <r>
      <t xml:space="preserve">· </t>
    </r>
    <r>
      <rPr>
        <i/>
        <sz val="11"/>
        <color indexed="64"/>
        <rFont val="Arial"/>
      </rPr>
      <t xml:space="preserve">Резервный фонд домовладельцев</t>
    </r>
  </si>
  <si>
    <t xml:space="preserve">для владельцев нежилых помещений домов № 61 корп.1 лит.А, по  проспекту Космонавтов</t>
  </si>
  <si>
    <t xml:space="preserve">Содержание и ремонт нежилого помещения</t>
  </si>
  <si>
    <r>
      <rPr>
        <b/>
        <sz val="12"/>
        <rFont val="Arial Cyr"/>
      </rPr>
      <t xml:space="preserve">Приложение № 1</t>
    </r>
    <r>
      <rPr>
        <sz val="12"/>
        <rFont val="Arial Cyr"/>
      </rPr>
      <t xml:space="preserve"> к материалам собрания собственников.</t>
    </r>
  </si>
  <si>
    <r>
      <rPr>
        <b/>
        <sz val="12"/>
        <rFont val="Arial Cyr"/>
      </rPr>
      <t xml:space="preserve">Дата проведения собрания:</t>
    </r>
    <r>
      <rPr>
        <sz val="12"/>
        <rFont val="Arial Cyr"/>
      </rPr>
      <t xml:space="preserve"> с 27 ноября 2017 г. по 27 декабря 2017г. </t>
    </r>
  </si>
  <si>
    <t xml:space="preserve">УК"Сервис Экспресс"</t>
  </si>
  <si>
    <t xml:space="preserve">для владельцев машиномест дома № 61,  корп.1  по проспекту  Космонавтов</t>
  </si>
  <si>
    <t xml:space="preserve">Площадь паркинга -1250 м2</t>
  </si>
  <si>
    <t xml:space="preserve">Отклонение, руб./м/место</t>
  </si>
  <si>
    <t xml:space="preserve">Содержание и ремонт автостоянки</t>
  </si>
  <si>
    <t xml:space="preserve">· Содержание общего имущества автостоянки</t>
  </si>
  <si>
    <t>руб./м/место</t>
  </si>
  <si>
    <t xml:space="preserve">· Текущий ремонт общего имущества автостоянки</t>
  </si>
  <si>
    <t xml:space="preserve">· Уборка территории автостоянки</t>
  </si>
  <si>
    <t xml:space="preserve">· Сервисное обслуживание системы приточно-вытяжной вентиляции автостоянки</t>
  </si>
  <si>
    <t xml:space="preserve">· Сервисное обслуживание системы сигнализации загазованности автостоянки</t>
  </si>
  <si>
    <t xml:space="preserve">· Сервисное обслуживание системы контроля управления доступом и видеонаблюдения автостоянки</t>
  </si>
  <si>
    <t xml:space="preserve">· Сервисное обслуживание подъемно-секционных ворот автостоянки</t>
  </si>
  <si>
    <t xml:space="preserve">· Сервисное обслуживание системы автоматической противопожарной защиты автостоянки</t>
  </si>
  <si>
    <t xml:space="preserve">· Управление автостоянкой</t>
  </si>
  <si>
    <t xml:space="preserve">· Служба администраторов автостоянки</t>
  </si>
  <si>
    <t xml:space="preserve">Космонавтов 61, корпус 1</t>
  </si>
  <si>
    <t xml:space="preserve">Номенклатурные группы</t>
  </si>
  <si>
    <t>Доходы</t>
  </si>
  <si>
    <t>Расходы</t>
  </si>
  <si>
    <t xml:space="preserve">Отклонения, руб.</t>
  </si>
  <si>
    <t xml:space="preserve">Отклонения, %</t>
  </si>
  <si>
    <t xml:space="preserve">Тариф_доходы, руб./м2</t>
  </si>
  <si>
    <t xml:space="preserve">Тариф_расходы, руб./м2</t>
  </si>
  <si>
    <t xml:space="preserve">Доходы жилья, руб.</t>
  </si>
  <si>
    <t xml:space="preserve">Расходы жилья, руб.</t>
  </si>
  <si>
    <t xml:space="preserve">Рентабельность, %</t>
  </si>
  <si>
    <t xml:space="preserve">Тариф по доходам, руб./м2</t>
  </si>
  <si>
    <t xml:space="preserve">Тариф по расходам, руб./м2</t>
  </si>
  <si>
    <t xml:space="preserve">Доходы нежилья, руб.</t>
  </si>
  <si>
    <t xml:space="preserve">Расходы нежилья, руб.</t>
  </si>
  <si>
    <t xml:space="preserve">Доходы паркинга, руб.</t>
  </si>
  <si>
    <t xml:space="preserve">Расходы паркинга, руб.</t>
  </si>
  <si>
    <t xml:space="preserve">Содержание общего имущества многоквартирного дома</t>
  </si>
  <si>
    <t xml:space="preserve">Текущий ремонт общего имущества многоквартирного дома</t>
  </si>
  <si>
    <t xml:space="preserve">Уборка лестничных клеток</t>
  </si>
  <si>
    <t xml:space="preserve">Площадь, руб./м2</t>
  </si>
  <si>
    <t xml:space="preserve">Санитарное содержание придомовой территории</t>
  </si>
  <si>
    <t>жилье</t>
  </si>
  <si>
    <t xml:space="preserve">Обслуживание и текущий ремонт тепловых систем</t>
  </si>
  <si>
    <t>нежилье</t>
  </si>
  <si>
    <t xml:space="preserve">Обслуживание и текущий ремонт слаботочных систем</t>
  </si>
  <si>
    <t>паркинг</t>
  </si>
  <si>
    <t xml:space="preserve">Обслуживание внутридомовой системы оповещения МЧС</t>
  </si>
  <si>
    <t xml:space="preserve">Обслуживание, освидетельствование, страхование  лифтов</t>
  </si>
  <si>
    <t xml:space="preserve">кол-во м/м</t>
  </si>
  <si>
    <t xml:space="preserve">Управление многоквартирным домом </t>
  </si>
  <si>
    <t xml:space="preserve">Служба регистрационного учета</t>
  </si>
  <si>
    <t xml:space="preserve">Аварийно-диспетчерская служба</t>
  </si>
  <si>
    <t xml:space="preserve">Служба консьержей</t>
  </si>
  <si>
    <t xml:space="preserve">Служба администраторов паркинга</t>
  </si>
  <si>
    <t xml:space="preserve">Вознаграждение за организацию предоставления и оплаты коммунальных услуг</t>
  </si>
  <si>
    <t>Итого</t>
  </si>
  <si>
    <t xml:space="preserve">Причины перерасхода</t>
  </si>
  <si>
    <t>Мероприятия</t>
  </si>
  <si>
    <t>Налоги</t>
  </si>
  <si>
    <t>Площадь:</t>
  </si>
  <si>
    <t xml:space="preserve">кол-во машиномест</t>
  </si>
  <si>
    <t xml:space="preserve">Статья расходов</t>
  </si>
  <si>
    <t xml:space="preserve">Должность  </t>
  </si>
  <si>
    <t>Кол-во</t>
  </si>
  <si>
    <t xml:space="preserve">ФОТ 1 человека, руб.</t>
  </si>
  <si>
    <t xml:space="preserve">ФОТ, руб.</t>
  </si>
  <si>
    <t xml:space="preserve">Доплаты за работу в праздничные дни</t>
  </si>
  <si>
    <t xml:space="preserve">Резерв отпусков, руб.
</t>
  </si>
  <si>
    <t xml:space="preserve">ФОТ_итого, руб.</t>
  </si>
  <si>
    <t xml:space="preserve">Страховые взносы, руб.</t>
  </si>
  <si>
    <t xml:space="preserve">Канцтовары, материалы, руб.</t>
  </si>
  <si>
    <t xml:space="preserve">Спецодежда, руб.</t>
  </si>
  <si>
    <t xml:space="preserve">Обучение, руб.</t>
  </si>
  <si>
    <t xml:space="preserve">Услуги сторонних орг-ций, руб.</t>
  </si>
  <si>
    <t xml:space="preserve">ИТОГО 
РАСХОДЫ, руб. </t>
  </si>
  <si>
    <t xml:space="preserve">Налог при УСН, руб.</t>
  </si>
  <si>
    <t xml:space="preserve">Рентабельность 10%, руб.</t>
  </si>
  <si>
    <t xml:space="preserve">Тариф_проект, руб./м2</t>
  </si>
  <si>
    <t xml:space="preserve">Тариф действующий, руб./м2</t>
  </si>
  <si>
    <t xml:space="preserve">Содержание общего имущества</t>
  </si>
  <si>
    <t>Управляющий</t>
  </si>
  <si>
    <t xml:space="preserve">Помощник управляющего</t>
  </si>
  <si>
    <t xml:space="preserve">Инженер по эксплуатации</t>
  </si>
  <si>
    <t xml:space="preserve">Электромонтер по ремонту и обслуживанию электрооборудования</t>
  </si>
  <si>
    <t>Слесарь-сантехник</t>
  </si>
  <si>
    <t>Диспетчер</t>
  </si>
  <si>
    <t>Консьерж</t>
  </si>
  <si>
    <t xml:space="preserve">Сумма по договору с клининговой компанией, руб.</t>
  </si>
  <si>
    <t xml:space="preserve">Мат-лы для озеленения и весенней покраски, руб. </t>
  </si>
  <si>
    <t xml:space="preserve">Услуги мех.уборки и вывоза снега, руб.</t>
  </si>
  <si>
    <t xml:space="preserve">Расходы итого, руб.</t>
  </si>
  <si>
    <t xml:space="preserve">Тариф_проект, руб./м2, руб./м/м</t>
  </si>
  <si>
    <t xml:space="preserve">Тариф действующий, руб./м2, руб./м/м</t>
  </si>
  <si>
    <t xml:space="preserve">Отклонение, руб./м2, руб./м/м</t>
  </si>
  <si>
    <t xml:space="preserve">Уборка МОП, территории автостоянки</t>
  </si>
  <si>
    <t xml:space="preserve">Доходы по старым тарифам, руб.</t>
  </si>
  <si>
    <t xml:space="preserve">Расходы, руб.</t>
  </si>
  <si>
    <t xml:space="preserve">Отклонение, руб.</t>
  </si>
  <si>
    <t xml:space="preserve">жилье </t>
  </si>
  <si>
    <t xml:space="preserve">Уборка мест общего пользования</t>
  </si>
  <si>
    <t xml:space="preserve">Уборка паркинга</t>
  </si>
  <si>
    <t xml:space="preserve">Сумма по договору на администрирование паркинга, руб.</t>
  </si>
  <si>
    <t xml:space="preserve">Тариф_проект, руб./м/м</t>
  </si>
  <si>
    <t xml:space="preserve">Тариф действующий, руб./м/м</t>
  </si>
  <si>
    <t xml:space="preserve">Администрирование паркинга</t>
  </si>
  <si>
    <t xml:space="preserve">Услуги сторонних организаций</t>
  </si>
  <si>
    <t xml:space="preserve">Сумма, руб.</t>
  </si>
  <si>
    <t xml:space="preserve">Услуги по дератизации, дезинфекции объекта</t>
  </si>
  <si>
    <t xml:space="preserve">Услуги по чистке ковриков объекта</t>
  </si>
  <si>
    <t xml:space="preserve">Обслуживание трактора, газонокосилки</t>
  </si>
  <si>
    <t xml:space="preserve"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</si>
  <si>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</si>
  <si>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 xml:space="preserve">Услуги по измерению сопротивления изоляции сетей электроснабжения</t>
  </si>
  <si>
    <t xml:space="preserve">Страхование гражданской ответственности</t>
  </si>
  <si>
    <t xml:space="preserve">Праздничные украшения</t>
  </si>
  <si>
    <t xml:space="preserve">Итого расходы</t>
  </si>
  <si>
    <t xml:space="preserve">Расходы на услуги связи объектов</t>
  </si>
  <si>
    <t xml:space="preserve">Услуги экстренного вызова охранных предприятий</t>
  </si>
  <si>
    <t xml:space="preserve">Наименование поставщика услуг</t>
  </si>
  <si>
    <t>Про-Клининг</t>
  </si>
  <si>
    <t xml:space="preserve">Распоряжение Комитета по тарифам СПб № 145-р от 29.11.2021 (с 01.01.2022 по 30.06.2022)</t>
  </si>
  <si>
    <t xml:space="preserve">Площадь, м2:</t>
  </si>
  <si>
    <t xml:space="preserve">кол-во лифтов</t>
  </si>
  <si>
    <t>этажность</t>
  </si>
  <si>
    <t>грузоподъемность</t>
  </si>
  <si>
    <t xml:space="preserve">скорость движения</t>
  </si>
  <si>
    <t xml:space="preserve">Лифт грузопассажирский</t>
  </si>
  <si>
    <t>автостоянка</t>
  </si>
  <si>
    <t xml:space="preserve">Лифт пассажирский</t>
  </si>
  <si>
    <t xml:space="preserve">Площадь первых этажей, м2</t>
  </si>
  <si>
    <t xml:space="preserve">Лифты грузопассажирские - грузоподъемность 1000 кг, этажность 19</t>
  </si>
  <si>
    <t xml:space="preserve">Базовая ставка, руб./лифт</t>
  </si>
  <si>
    <t>Коф-т</t>
  </si>
  <si>
    <t xml:space="preserve">Кол-во лифтов в доме </t>
  </si>
  <si>
    <t>Этажность</t>
  </si>
  <si>
    <t xml:space="preserve">Тех.обслуживание лифтов, включая ежегодное страхование, диагностику, руб.</t>
  </si>
  <si>
    <t xml:space="preserve">Лифты грузопассажирские - грузоподъемность 1000 кг, этажность 22</t>
  </si>
  <si>
    <t xml:space="preserve">Лифты грузопассажирские - грузоподъемность 1000 кг, этажность 24</t>
  </si>
  <si>
    <t xml:space="preserve">Лифты пассажирские - грузоподъемность 400 кг, этажность 19</t>
  </si>
  <si>
    <t xml:space="preserve">Лифты пассажирские - грузоподъемность 400 кг, этажность 22</t>
  </si>
  <si>
    <t xml:space="preserve">Лифты пассажирские - грузоподъемность 400 кг, этажность 24</t>
  </si>
  <si>
    <t xml:space="preserve">Итого стоимость обслуживания лифтов, страхование, диагностика, руб.</t>
  </si>
  <si>
    <t xml:space="preserve">Тариф, руб./м2</t>
  </si>
  <si>
    <t>Объект</t>
  </si>
  <si>
    <t xml:space="preserve">Фирма, обслуживающая лифтовое оборудование</t>
  </si>
  <si>
    <t xml:space="preserve">Количество лифтов</t>
  </si>
  <si>
    <t xml:space="preserve">Доходы по действующим тарифам, руб.</t>
  </si>
  <si>
    <t xml:space="preserve">Расходы действующие, руб., в т.ч.:</t>
  </si>
  <si>
    <t xml:space="preserve">Доходы по новым тарифам, руб.</t>
  </si>
  <si>
    <t xml:space="preserve">Расходы новые, руб.</t>
  </si>
  <si>
    <t>Т/о</t>
  </si>
  <si>
    <t>Диагностика</t>
  </si>
  <si>
    <t>Страхование</t>
  </si>
  <si>
    <t xml:space="preserve">Т/о, с подъемниками</t>
  </si>
  <si>
    <t xml:space="preserve">Космонавтов 61, к.1</t>
  </si>
  <si>
    <t>Интеграл</t>
  </si>
  <si>
    <t xml:space="preserve">кол-во долей</t>
  </si>
  <si>
    <t xml:space="preserve">Тепловые системы</t>
  </si>
  <si>
    <t xml:space="preserve">Тарифы действующие</t>
  </si>
  <si>
    <t xml:space="preserve">Тарифы новые</t>
  </si>
  <si>
    <t xml:space="preserve">·   Обслуживание узла учета тепловой энергии (КУУТЭ), холодной воды, электрической энергии </t>
  </si>
  <si>
    <t xml:space="preserve">·   Обслуживание индивидуального теплового пункта   (ИТП)</t>
  </si>
  <si>
    <t>Всего</t>
  </si>
  <si>
    <t xml:space="preserve">Запасные части для мелкого текущего ремонта тепловых систем</t>
  </si>
  <si>
    <t xml:space="preserve">Инструмент службы тепловых систем</t>
  </si>
  <si>
    <t xml:space="preserve">Услуги по вызову инспектора, поверка оборудования (КУУТЭ, ИТП)</t>
  </si>
  <si>
    <t xml:space="preserve">Услуги сотовой связи для КУУТЭ</t>
  </si>
  <si>
    <t xml:space="preserve">Услуги по обслуживанию тепловых систем </t>
  </si>
  <si>
    <t xml:space="preserve">Налог при УСН</t>
  </si>
  <si>
    <t xml:space="preserve">Рентабельность 10%</t>
  </si>
  <si>
    <t xml:space="preserve">Слаботочные системы</t>
  </si>
  <si>
    <t xml:space="preserve">·   Обслуживание переговорно - замочного устройства  (ПЗУ), видеонаблюдения</t>
  </si>
  <si>
    <t xml:space="preserve">·   Обслуживание систем автоматической противопожарной защиты (АППЗ)</t>
  </si>
  <si>
    <t xml:space="preserve">·   Обслуживание объединенных диспетчерских систем (ОДС)</t>
  </si>
  <si>
    <t xml:space="preserve">·   Обслуживание систем противопожарного водоснабжения (ОСВП)</t>
  </si>
  <si>
    <t xml:space="preserve">· Обслуживание системы общеобменной вентиляции паркинга</t>
  </si>
  <si>
    <t xml:space="preserve">· Обслуживание системы сигнализации загазованности</t>
  </si>
  <si>
    <t xml:space="preserve">· Обслуживание системы видеонаблюдения</t>
  </si>
  <si>
    <t xml:space="preserve">· Обслуживание системы автоматических ворот</t>
  </si>
  <si>
    <t xml:space="preserve">· Обслуживание системы автоматики противопожарной защиты </t>
  </si>
  <si>
    <t xml:space="preserve">· Обслуживание СКУД</t>
  </si>
  <si>
    <t xml:space="preserve">· Обслуживание системы водяного пожаротушения </t>
  </si>
  <si>
    <t xml:space="preserve">Запасные части для мелкого текущего ремонта слаботочных систем</t>
  </si>
  <si>
    <t xml:space="preserve">Инструмент службы слаботочных систем</t>
  </si>
  <si>
    <t xml:space="preserve">Услуги технического обслуживания насосных станций пожаротушения</t>
  </si>
  <si>
    <t xml:space="preserve">Услуги по обслуживанию слаботочных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</si>
</sst>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0" formatCode="_-* #,##0.00&quot;р.&quot;_-;\-* #,##0.00&quot;р.&quot;_-;_-* &quot;-&quot;??&quot;р.&quot;_-;_-@_-"/>
    <numFmt numFmtId="161" formatCode="_-* #,##0.00\ &quot;₽&quot;_-;\-* #,##0.00\ &quot;₽&quot;_-;_-* &quot;-&quot;??\ &quot;₽&quot;_-;_-@_-"/>
    <numFmt numFmtId="162" formatCode="_-* #,##0.00_р_._-;\-* #,##0.00_р_._-;_-* &quot;-&quot;??_р_._-;_-@_-"/>
    <numFmt numFmtId="163" formatCode="_(* #,##0.00_);_(* \(#,##0.00\);_(* &quot;-&quot;??_);_(@_)"/>
    <numFmt numFmtId="164" formatCode="_-* #,##0.00\ _₽_-;\-* #,##0.00\ _₽_-;_-* &quot;-&quot;??\ _₽_-;_-@_-"/>
    <numFmt numFmtId="165" formatCode="_(* #,##0_);_(* \(#,##0\);_(* &quot;-&quot;_);_(@_)"/>
  </numFmts>
  <fonts count="80">
    <font>
      <name val="Arial Cyr"/>
      <color theme="1"/>
      <sz val="10.000000"/>
    </font>
    <font>
      <name val="Calibri"/>
      <color indexed="64"/>
      <sz val="11.000000"/>
    </font>
    <font>
      <name val="Calibri"/>
      <color indexed="65"/>
      <sz val="11.000000"/>
    </font>
    <font>
      <name val="Arial"/>
      <color indexed="64"/>
      <sz val="10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b/>
      <color indexed="52"/>
      <sz val="11.000000"/>
    </font>
    <font>
      <name val="Arial Cyr"/>
      <color indexed="4"/>
      <sz val="10.000000"/>
      <u/>
    </font>
    <font>
      <name val="Arial Cyr"/>
      <sz val="10.000000"/>
    </font>
    <font>
      <name val="Calibri"/>
      <color theme="1"/>
      <sz val="11.000000"/>
      <scheme val="minor"/>
    </font>
    <font>
      <name val="Arial"/>
      <sz val="10.000000"/>
    </font>
    <font>
      <name val="Calibri"/>
      <b/>
      <color indexed="56"/>
      <sz val="15.000000"/>
    </font>
    <font>
      <name val="Calibri"/>
      <b/>
      <color indexed="56"/>
      <sz val="13.000000"/>
    </font>
    <font>
      <name val="Calibri"/>
      <b/>
      <color indexed="56"/>
      <sz val="11.000000"/>
    </font>
    <font>
      <name val="Calibri"/>
      <b/>
      <color indexed="64"/>
      <sz val="11.000000"/>
    </font>
    <font>
      <name val="Calibri"/>
      <b/>
      <color indexed="65"/>
      <sz val="11.000000"/>
    </font>
    <font>
      <name val="Cambria"/>
      <b/>
      <color indexed="56"/>
      <sz val="18.000000"/>
    </font>
    <font>
      <name val="Calibri"/>
      <color indexed="60"/>
      <sz val="11.000000"/>
    </font>
    <font>
      <name val="Arial Cyr"/>
      <color indexed="64"/>
      <sz val="10.000000"/>
    </font>
    <font>
      <name val="Arial"/>
      <sz val="8.000000"/>
    </font>
    <font>
      <name val="Calibri"/>
      <color indexed="64"/>
      <sz val="10.000000"/>
    </font>
    <font>
      <name val="Calibri"/>
      <color indexed="20"/>
      <sz val="11.000000"/>
    </font>
    <font>
      <name val="Calibri"/>
      <i/>
      <color indexed="23"/>
      <sz val="11.000000"/>
    </font>
    <font>
      <name val="Calibri"/>
      <color indexed="52"/>
      <sz val="11.000000"/>
    </font>
    <font>
      <name val="Helv"/>
      <sz val="10.000000"/>
    </font>
    <font>
      <name val="Calibri"/>
      <color indexed="2"/>
      <sz val="11.000000"/>
    </font>
    <font>
      <name val="Calibri"/>
      <color indexed="17"/>
      <sz val="11.000000"/>
    </font>
    <font>
      <name val="Arial Cyr"/>
      <sz val="14.000000"/>
    </font>
    <font>
      <name val="Calibri"/>
      <b/>
      <color indexed="2"/>
      <sz val="16.000000"/>
    </font>
    <font>
      <name val="Times New Roman"/>
      <b/>
      <sz val="14.000000"/>
    </font>
    <font>
      <name val="Arial"/>
      <b/>
      <i/>
      <color indexed="64"/>
      <sz val="14.000000"/>
    </font>
    <font>
      <name val="Calibri"/>
      <sz val="11.000000"/>
    </font>
    <font>
      <name val="Arial"/>
      <b/>
      <i/>
      <color indexed="64"/>
      <sz val="16.000000"/>
    </font>
    <font>
      <name val="Arial"/>
      <b/>
      <i/>
      <color indexed="65"/>
      <sz val="10.000000"/>
    </font>
    <font>
      <name val="Arial"/>
      <b/>
      <i/>
      <color indexed="64"/>
      <sz val="10.000000"/>
    </font>
    <font>
      <name val="Arial"/>
      <b/>
      <i/>
      <color indexed="64"/>
      <sz val="12.000000"/>
    </font>
    <font>
      <name val="Times New Roman"/>
      <b/>
      <i/>
      <color indexed="64"/>
      <sz val="12.000000"/>
    </font>
    <font>
      <name val="Symbol"/>
      <color indexed="64"/>
      <sz val="12.000000"/>
    </font>
    <font>
      <name val="Arial"/>
      <i/>
      <color indexed="64"/>
      <sz val="12.000000"/>
    </font>
    <font>
      <name val="Arial"/>
      <b/>
      <i/>
      <color indexed="64"/>
      <sz val="9.000000"/>
    </font>
    <font>
      <name val="Arial"/>
      <i/>
      <sz val="12.000000"/>
    </font>
    <font>
      <name val="Symbol"/>
      <color theme="1"/>
      <sz val="12.000000"/>
    </font>
    <font>
      <name val="Calibri"/>
      <sz val="8.000000"/>
    </font>
    <font>
      <name val="Calibri"/>
      <color indexed="64"/>
      <sz val="16.000000"/>
    </font>
    <font>
      <name val="Arial"/>
      <b/>
      <i/>
      <color indexed="64"/>
      <sz val="13.500000"/>
    </font>
    <font>
      <name val="Calibri"/>
      <color indexed="65"/>
      <sz val="12.000000"/>
    </font>
    <font>
      <name val="Calibri"/>
      <sz val="12.000000"/>
    </font>
    <font>
      <name val="Calibri"/>
      <color indexed="2"/>
      <sz val="12.000000"/>
    </font>
    <font>
      <name val="Calibri"/>
      <color indexed="64"/>
      <sz val="12.000000"/>
    </font>
    <font>
      <name val="Arial Cyr"/>
      <sz val="12.000000"/>
    </font>
    <font>
      <name val="Arial Cyr"/>
      <sz val="9.000000"/>
    </font>
    <font>
      <name val="Arial"/>
      <color indexed="65"/>
      <sz val="10.000000"/>
    </font>
    <font>
      <name val="Arial"/>
      <b/>
      <i/>
      <sz val="10.000000"/>
    </font>
    <font>
      <name val="Arial"/>
      <sz val="12.000000"/>
    </font>
    <font>
      <name val="Arial"/>
      <b/>
      <i/>
      <sz val="12.000000"/>
    </font>
    <font>
      <name val="Times New Roman"/>
      <i/>
      <sz val="12.000000"/>
    </font>
    <font>
      <name val="Arial"/>
      <color indexed="65"/>
      <sz val="11.000000"/>
    </font>
    <font>
      <name val="Arial Cyr"/>
      <color indexed="65"/>
      <sz val="11.000000"/>
    </font>
    <font>
      <name val="Arial Cyr"/>
      <sz val="11.000000"/>
    </font>
    <font>
      <name val="Times New Roman"/>
      <color theme="1"/>
      <sz val="11.000000"/>
    </font>
    <font>
      <name val="Times New Roman"/>
      <b/>
      <color theme="1"/>
      <sz val="12.000000"/>
    </font>
    <font>
      <name val="Times New Roman"/>
      <sz val="10.000000"/>
    </font>
    <font>
      <name val="Times New Roman"/>
      <color theme="1"/>
      <sz val="10.000000"/>
    </font>
    <font>
      <name val="Times New Roman"/>
      <b/>
      <sz val="10.000000"/>
    </font>
    <font>
      <name val="Times New Roman"/>
      <b/>
      <color theme="1"/>
      <sz val="11.000000"/>
    </font>
    <font>
      <name val="Times New Roman"/>
      <color theme="0"/>
      <sz val="11.000000"/>
    </font>
    <font>
      <name val="Times New Roman"/>
      <color theme="1"/>
      <sz val="9.000000"/>
    </font>
    <font>
      <name val="Times New Roman"/>
      <b/>
      <color theme="1"/>
      <sz val="9.000000"/>
    </font>
    <font>
      <name val="Times New Roman"/>
      <b/>
      <color theme="1"/>
      <sz val="10.000000"/>
    </font>
    <font>
      <name val="Calibri"/>
      <sz val="9.000000"/>
      <scheme val="minor"/>
    </font>
    <font>
      <name val="Times New Roman"/>
      <b/>
      <sz val="9.000000"/>
    </font>
    <font>
      <name val="Times New Roman"/>
      <sz val="9.000000"/>
    </font>
    <font>
      <name val="Calibri"/>
      <b/>
      <sz val="9.000000"/>
      <scheme val="minor"/>
    </font>
    <font>
      <name val="Calibri"/>
      <sz val="11.000000"/>
      <scheme val="minor"/>
    </font>
    <font>
      <name val="Times New Roman"/>
      <sz val="11.000000"/>
    </font>
    <font>
      <name val="Calibri"/>
      <color theme="1"/>
      <sz val="9.000000"/>
      <scheme val="minor"/>
    </font>
    <font>
      <name val="Times New Roman"/>
      <color indexed="64"/>
      <sz val="10.000000"/>
    </font>
    <font>
      <name val="Times New Roman"/>
      <b/>
      <sz val="12.000000"/>
    </font>
    <font>
      <name val="Times New Roman"/>
      <color indexed="64"/>
      <sz val="9.000000"/>
    </font>
    <font>
      <name val="Times New Roman"/>
      <color theme="0"/>
      <sz val="9.000000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5"/>
        <bgColor indexed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indexed="6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theme="1"/>
      </right>
      <top style="medium">
        <color auto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auto="1"/>
      </top>
      <bottom style="hair">
        <color theme="1"/>
      </bottom>
      <diagonal/>
    </border>
    <border>
      <left style="hair">
        <color theme="1"/>
      </left>
      <right/>
      <top style="medium">
        <color auto="1"/>
      </top>
      <bottom style="hair">
        <color theme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4222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3" fillId="0" borderId="0" numFmtId="0" applyNumberFormat="1" applyFont="1" applyFill="1" applyBorder="1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7" fillId="0" borderId="0" numFmtId="0" applyNumberFormat="0" applyFont="1" applyFill="0" applyBorder="0" applyProtection="0">
      <alignment vertical="top"/>
      <protection locked="0"/>
    </xf>
    <xf fontId="8" fillId="0" borderId="0" numFmtId="160" applyNumberFormat="1" applyFont="0" applyFill="0" applyBorder="0" applyProtection="0"/>
    <xf fontId="9" fillId="0" borderId="0" numFmtId="160" applyNumberFormat="1" applyFont="0" applyFill="0" applyBorder="0" applyProtection="0"/>
    <xf fontId="9" fillId="0" borderId="0" numFmtId="160" applyNumberFormat="1" applyFont="0" applyFill="0" applyBorder="0" applyProtection="0"/>
    <xf fontId="9" fillId="0" borderId="0" numFmtId="160" applyNumberFormat="1" applyFont="0" applyFill="0" applyBorder="0" applyProtection="0"/>
    <xf fontId="9" fillId="0" borderId="0" numFmtId="160" applyNumberFormat="1" applyFont="0" applyFill="0" applyBorder="0" applyProtection="0"/>
    <xf fontId="9" fillId="0" borderId="0" numFmtId="160" applyNumberFormat="1" applyFont="0" applyFill="0" applyBorder="0" applyProtection="0"/>
    <xf fontId="9" fillId="0" borderId="0" numFmtId="160" applyNumberFormat="1" applyFont="0" applyFill="0" applyBorder="0" applyProtection="0"/>
    <xf fontId="10" fillId="0" borderId="0" numFmtId="161" applyNumberFormat="1" applyFont="1" applyFill="0" applyBorder="0" applyProtection="0"/>
    <xf fontId="10" fillId="0" borderId="0" numFmtId="161" applyNumberFormat="1" applyFont="1" applyFill="0" applyBorder="0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1" fillId="0" borderId="3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2" fillId="0" borderId="4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5" numFmtId="0" applyNumberFormat="0" applyFont="1" applyFill="0" applyBorder="1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3" fillId="0" borderId="0" numFmtId="0" applyNumberFormat="0" applyFont="1" applyFill="0" applyBorder="0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4" fillId="0" borderId="6" numFmtId="0" applyNumberFormat="0" applyFont="1" applyFill="0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5" fillId="21" borderId="7" numFmtId="0" applyNumberFormat="0" applyFont="1" applyFill="1" applyBorder="1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17" fillId="22" borderId="0" numFmtId="0" applyNumberFormat="0" applyFont="1" applyFill="1" applyBorder="0" applyProtection="0"/>
    <xf fontId="0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1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9" fillId="0" borderId="0" numFmtId="0" applyNumberFormat="1" applyFont="1" applyFill="1" applyBorder="1"/>
    <xf fontId="18" fillId="0" borderId="0" numFmtId="0" applyNumberFormat="1" applyFont="1" applyFill="1" applyBorder="1"/>
    <xf fontId="10" fillId="0" borderId="0" numFmtId="0" applyNumberFormat="1" applyFont="1" applyFill="1" applyBorder="1"/>
    <xf fontId="19" fillId="0" borderId="0" numFmtId="0" applyNumberFormat="1" applyFont="1" applyFill="1" applyBorder="1"/>
    <xf fontId="10" fillId="0" borderId="0" numFmtId="0" applyNumberFormat="1" applyFont="1" applyFill="1" applyBorder="1"/>
    <xf fontId="18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0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2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>
      <alignment horizontal="left"/>
    </xf>
    <xf fontId="1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8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9" fillId="0" borderId="0" numFmtId="0" applyNumberFormat="1" applyFont="1" applyFill="1" applyBorder="1"/>
    <xf fontId="19" fillId="0" borderId="0" numFmtId="0" applyNumberFormat="1" applyFont="1" applyFill="1" applyBorder="1"/>
    <xf fontId="19" fillId="0" borderId="0" numFmtId="0" applyNumberFormat="1" applyFont="1" applyFill="1" applyBorder="1"/>
    <xf fontId="19" fillId="0" borderId="0" numFmtId="0" applyNumberFormat="1" applyFont="1" applyFill="1" applyBorder="1"/>
    <xf fontId="9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0" fillId="0" borderId="0" numFmtId="0" applyNumberFormat="1" applyFont="1" applyFill="1" applyBorder="1"/>
    <xf fontId="8" fillId="0" borderId="0" numFmtId="0" applyNumberFormat="1" applyFont="1" applyFill="1" applyBorder="1"/>
    <xf fontId="1" fillId="0" borderId="0" numFmtId="0" applyNumberFormat="1" applyFont="1" applyFill="1" applyBorder="1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10" fillId="23" borderId="8" numFmtId="0" applyNumberFormat="0" applyFont="0" applyFill="1" applyBorder="1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10" fillId="0" borderId="0" numFmtId="9" applyNumberFormat="1" applyFont="0" applyFill="0" applyBorder="0" applyProtection="0"/>
    <xf fontId="10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8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19" fillId="0" borderId="0" numFmtId="0" applyNumberFormat="1" applyFont="1" applyFill="1" applyBorder="1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19" fillId="0" borderId="0" numFmtId="0" applyNumberFormat="1" applyFont="1" applyFill="1" applyBorder="1"/>
    <xf fontId="9" fillId="0" borderId="0" numFmtId="9" applyNumberFormat="1" applyFont="0" applyFill="0" applyBorder="0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4" fillId="0" borderId="0" numFmtId="0" applyNumberFormat="1" applyFont="1" applyFill="1" applyBorder="1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8" fillId="0" borderId="0" numFmtId="162" applyNumberFormat="1" applyFont="0" applyFill="0" applyBorder="0" applyProtection="0"/>
    <xf fontId="10" fillId="0" borderId="0" numFmtId="163" applyNumberFormat="1" applyFont="0" applyFill="0" applyBorder="0" applyProtection="0"/>
    <xf fontId="10" fillId="0" borderId="0" numFmtId="163" applyNumberFormat="1" applyFont="0" applyFill="0" applyBorder="0" applyProtection="0"/>
    <xf fontId="10" fillId="0" borderId="0" numFmtId="164" applyNumberFormat="1" applyFont="0" applyFill="0" applyBorder="0" applyProtection="0"/>
    <xf fontId="10" fillId="0" borderId="0" numFmtId="164" applyNumberFormat="1" applyFont="0" applyFill="0" applyBorder="0" applyProtection="0"/>
    <xf fontId="8" fillId="0" borderId="0" numFmtId="162" applyNumberFormat="1" applyFont="0" applyFill="0" applyBorder="0" applyProtection="0"/>
    <xf fontId="8" fillId="0" borderId="0" numFmtId="162" applyNumberFormat="1" applyFont="0" applyFill="0" applyBorder="0" applyProtection="0"/>
    <xf fontId="8" fillId="0" borderId="0" numFmtId="162" applyNumberFormat="1" applyFont="0" applyFill="0" applyBorder="0" applyProtection="0"/>
    <xf fontId="1" fillId="0" borderId="0" numFmtId="162" applyNumberFormat="1" applyFont="0" applyFill="0" applyBorder="0" applyProtection="0"/>
    <xf fontId="10" fillId="0" borderId="0" numFmtId="162" applyNumberFormat="1" applyFont="0" applyFill="0" applyBorder="0" applyProtection="0"/>
    <xf fontId="10" fillId="0" borderId="0" numFmtId="163" applyNumberFormat="1" applyFont="0" applyFill="0" applyBorder="0" applyProtection="0"/>
    <xf fontId="10" fillId="0" borderId="0" numFmtId="163" applyNumberFormat="1" applyFont="0" applyFill="0" applyBorder="0" applyProtection="0"/>
    <xf fontId="10" fillId="0" borderId="0" numFmtId="164" applyNumberFormat="1" applyFont="0" applyFill="0" applyBorder="0" applyProtection="0"/>
    <xf fontId="10" fillId="0" borderId="0" numFmtId="163" applyNumberFormat="1" applyFont="0" applyFill="0" applyBorder="0" applyProtection="0"/>
    <xf fontId="1" fillId="0" borderId="0" numFmtId="162" applyNumberFormat="1" applyFont="0" applyFill="0" applyBorder="0" applyProtection="0"/>
    <xf fontId="9" fillId="0" borderId="0" numFmtId="162" applyNumberFormat="1" applyFont="0" applyFill="0" applyBorder="0" applyProtection="0"/>
    <xf fontId="9" fillId="0" borderId="0" numFmtId="162" applyNumberFormat="1" applyFont="0" applyFill="0" applyBorder="0" applyProtection="0"/>
    <xf fontId="9" fillId="0" borderId="0" numFmtId="162" applyNumberFormat="1" applyFont="0" applyFill="0" applyBorder="0" applyProtection="0"/>
    <xf fontId="9" fillId="0" borderId="0" numFmtId="162" applyNumberFormat="1" applyFont="0" applyFill="0" applyBorder="0" applyProtection="0"/>
    <xf fontId="9" fillId="0" borderId="0" numFmtId="162" applyNumberFormat="1" applyFont="0" applyFill="0" applyBorder="0" applyProtection="0"/>
    <xf fontId="9" fillId="0" borderId="0" numFmtId="162" applyNumberFormat="1" applyFont="0" applyFill="0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</cellStyleXfs>
  <cellXfs count="412">
    <xf fontId="0" fillId="0" borderId="0" numFmtId="0" xfId="0"/>
    <xf fontId="1" fillId="0" borderId="0" numFmtId="0" xfId="3732" applyFont="1"/>
    <xf fontId="1" fillId="0" borderId="0" numFmtId="0" xfId="3732" applyFont="1" applyAlignment="1">
      <alignment vertical="center"/>
    </xf>
    <xf fontId="2" fillId="0" borderId="0" numFmtId="0" xfId="3732" applyFont="1"/>
    <xf fontId="27" fillId="0" borderId="0" numFmtId="0" xfId="0" applyFont="1" applyAlignment="1">
      <alignment horizontal="center" wrapText="1"/>
    </xf>
    <xf fontId="27" fillId="0" borderId="0" numFmtId="0" xfId="0" applyFont="1" applyAlignment="1">
      <alignment horizontal="center"/>
    </xf>
    <xf fontId="27" fillId="0" borderId="0" numFmtId="0" xfId="0" applyFont="1"/>
    <xf fontId="28" fillId="0" borderId="0" numFmtId="0" xfId="3732" applyFont="1"/>
    <xf fontId="29" fillId="0" borderId="0" numFmtId="0" xfId="3732" applyFont="1" applyAlignment="1">
      <alignment horizontal="left" wrapText="1"/>
    </xf>
    <xf fontId="1" fillId="0" borderId="0" numFmtId="0" xfId="3732" applyFont="1" applyAlignment="1">
      <alignment horizontal="centerContinuous"/>
    </xf>
    <xf fontId="30" fillId="0" borderId="0" numFmtId="0" xfId="3732" applyFont="1" applyAlignment="1">
      <alignment horizontal="center"/>
    </xf>
    <xf fontId="31" fillId="0" borderId="0" numFmtId="0" xfId="3732" applyFont="1"/>
    <xf fontId="31" fillId="0" borderId="0" numFmtId="0" xfId="3732" applyFont="1" applyAlignment="1">
      <alignment horizontal="left"/>
    </xf>
    <xf fontId="32" fillId="0" borderId="0" numFmtId="0" xfId="3732" applyFont="1" applyAlignment="1">
      <alignment horizontal="center"/>
    </xf>
    <xf fontId="33" fillId="0" borderId="0" numFmtId="0" xfId="3732" applyFont="1" applyAlignment="1">
      <alignment horizontal="right"/>
    </xf>
    <xf fontId="1" fillId="0" borderId="0" numFmtId="4" xfId="3732" applyNumberFormat="1" applyFont="1" applyAlignment="1">
      <alignment vertical="center"/>
    </xf>
    <xf fontId="34" fillId="0" borderId="10" numFmtId="0" xfId="3732" applyFont="1" applyBorder="1" applyAlignment="1">
      <alignment horizontal="center" wrapText="1"/>
    </xf>
    <xf fontId="35" fillId="0" borderId="10" numFmtId="0" xfId="3732" applyFont="1" applyBorder="1" applyAlignment="1">
      <alignment horizontal="center" vertical="center" wrapText="1"/>
    </xf>
    <xf fontId="2" fillId="0" borderId="11" numFmtId="0" xfId="3732" applyFont="1" applyBorder="1"/>
    <xf fontId="2" fillId="0" borderId="12" numFmtId="0" xfId="3732" applyFont="1" applyBorder="1"/>
    <xf fontId="30" fillId="24" borderId="10" numFmtId="0" xfId="3732" applyFont="1" applyFill="1" applyBorder="1" applyAlignment="1">
      <alignment horizontal="center" vertical="center" wrapText="1"/>
    </xf>
    <xf fontId="30" fillId="24" borderId="10" numFmtId="0" xfId="3732" applyFont="1" applyFill="1" applyBorder="1" applyAlignment="1">
      <alignment horizontal="left" vertical="center" wrapText="1"/>
    </xf>
    <xf fontId="30" fillId="24" borderId="10" numFmtId="4" xfId="3732" applyNumberFormat="1" applyFont="1" applyFill="1" applyBorder="1" applyAlignment="1">
      <alignment horizontal="center" vertical="center" wrapText="1"/>
    </xf>
    <xf fontId="2" fillId="0" borderId="13" numFmtId="0" xfId="3732" applyFont="1" applyBorder="1"/>
    <xf fontId="36" fillId="0" borderId="14" numFmtId="0" xfId="3732" applyFont="1" applyBorder="1" applyAlignment="1">
      <alignment horizontal="center" wrapText="1"/>
    </xf>
    <xf fontId="37" fillId="0" borderId="14" numFmtId="0" xfId="3732" applyFont="1" applyBorder="1" applyAlignment="1">
      <alignment vertical="center" wrapText="1"/>
    </xf>
    <xf fontId="38" fillId="0" borderId="14" numFmtId="0" xfId="3732" applyFont="1" applyBorder="1" applyAlignment="1">
      <alignment horizontal="center" vertical="center" wrapText="1"/>
    </xf>
    <xf fontId="38" fillId="25" borderId="10" numFmtId="2" xfId="3732" applyNumberFormat="1" applyFont="1" applyFill="1" applyBorder="1" applyAlignment="1">
      <alignment horizontal="center" vertical="center" wrapText="1"/>
    </xf>
    <xf fontId="25" fillId="0" borderId="0" numFmtId="0" xfId="3732" applyFont="1"/>
    <xf fontId="39" fillId="0" borderId="10" numFmtId="0" xfId="3732" applyFont="1" applyBorder="1" applyAlignment="1">
      <alignment horizontal="center" wrapText="1"/>
    </xf>
    <xf fontId="38" fillId="0" borderId="14" numFmtId="2" xfId="3732" applyNumberFormat="1" applyFont="1" applyBorder="1" applyAlignment="1">
      <alignment horizontal="center" vertical="center" wrapText="1"/>
    </xf>
    <xf fontId="36" fillId="0" borderId="10" numFmtId="0" xfId="3732" applyFont="1" applyBorder="1" applyAlignment="1">
      <alignment horizontal="center" wrapText="1"/>
    </xf>
    <xf fontId="40" fillId="25" borderId="14" numFmtId="2" xfId="3732" applyNumberFormat="1" applyFont="1" applyFill="1" applyBorder="1" applyAlignment="1">
      <alignment horizontal="center" vertical="center" wrapText="1"/>
    </xf>
    <xf fontId="37" fillId="0" borderId="10" numFmtId="0" xfId="3732" applyFont="1" applyBorder="1" applyAlignment="1">
      <alignment horizontal="left" vertical="center" wrapText="1"/>
    </xf>
    <xf fontId="38" fillId="0" borderId="10" numFmtId="0" xfId="3732" applyFont="1" applyBorder="1" applyAlignment="1">
      <alignment horizontal="center" vertical="center" wrapText="1"/>
    </xf>
    <xf fontId="37" fillId="0" borderId="10" numFmtId="0" xfId="3732" applyFont="1" applyBorder="1" applyAlignment="1">
      <alignment vertical="center" wrapText="1"/>
    </xf>
    <xf fontId="34" fillId="0" borderId="10" numFmtId="0" xfId="3732" applyFont="1" applyBorder="1" applyAlignment="1">
      <alignment horizontal="center" vertical="center" wrapText="1"/>
    </xf>
    <xf fontId="38" fillId="0" borderId="10" numFmtId="2" xfId="3732" applyNumberFormat="1" applyFont="1" applyBorder="1" applyAlignment="1">
      <alignment horizontal="center" vertical="center" wrapText="1"/>
    </xf>
    <xf fontId="2" fillId="0" borderId="0" numFmtId="0" xfId="3732" applyFont="1" applyAlignment="1">
      <alignment vertical="center"/>
    </xf>
    <xf fontId="2" fillId="0" borderId="13" numFmtId="0" xfId="3732" applyFont="1" applyBorder="1" applyAlignment="1">
      <alignment vertical="center"/>
    </xf>
    <xf fontId="31" fillId="0" borderId="0" numFmtId="0" xfId="3732" applyFont="1" applyAlignment="1">
      <alignment vertical="center"/>
    </xf>
    <xf fontId="25" fillId="0" borderId="0" numFmtId="0" xfId="3732" applyFont="1" applyAlignment="1">
      <alignment vertical="center"/>
    </xf>
    <xf fontId="41" fillId="0" borderId="10" numFmtId="0" xfId="3732" applyFont="1" applyBorder="1" applyAlignment="1">
      <alignment horizontal="left" vertical="center" wrapText="1"/>
    </xf>
    <xf fontId="38" fillId="25" borderId="14" numFmtId="2" xfId="3732" applyNumberFormat="1" applyFont="1" applyFill="1" applyBorder="1" applyAlignment="1">
      <alignment horizontal="center" vertical="center" wrapText="1"/>
    </xf>
    <xf fontId="38" fillId="26" borderId="10" numFmtId="2" xfId="3732" applyNumberFormat="1" applyFont="1" applyFill="1" applyBorder="1" applyAlignment="1">
      <alignment horizontal="center" vertical="center" wrapText="1"/>
    </xf>
    <xf fontId="2" fillId="0" borderId="15" numFmtId="0" xfId="3732" applyFont="1" applyBorder="1"/>
    <xf fontId="42" fillId="0" borderId="0" numFmtId="0" xfId="3732" applyFont="1"/>
    <xf fontId="32" fillId="0" borderId="0" numFmtId="0" xfId="3732" applyFont="1" applyAlignment="1">
      <alignment horizontal="centerContinuous"/>
    </xf>
    <xf fontId="43" fillId="0" borderId="0" numFmtId="0" xfId="3732" applyFont="1" applyAlignment="1">
      <alignment horizontal="centerContinuous"/>
    </xf>
    <xf fontId="1" fillId="0" borderId="0" numFmtId="0" xfId="3732" applyFont="1" applyAlignment="1">
      <alignment horizontal="centerContinuous" vertical="center"/>
    </xf>
    <xf fontId="44" fillId="0" borderId="0" numFmtId="0" xfId="3732" applyFont="1" applyAlignment="1">
      <alignment horizontal="center" wrapText="1"/>
    </xf>
    <xf fontId="45" fillId="0" borderId="0" numFmtId="0" xfId="3732" applyFont="1"/>
    <xf fontId="35" fillId="0" borderId="10" numFmtId="0" xfId="3732" applyFont="1" applyBorder="1" applyAlignment="1">
      <alignment horizontal="center" wrapText="1"/>
    </xf>
    <xf fontId="35" fillId="24" borderId="10" numFmtId="0" xfId="3732" applyFont="1" applyFill="1" applyBorder="1" applyAlignment="1">
      <alignment horizontal="center" vertical="center" wrapText="1"/>
    </xf>
    <xf fontId="35" fillId="24" borderId="10" numFmtId="0" xfId="3732" applyFont="1" applyFill="1" applyBorder="1" applyAlignment="1">
      <alignment horizontal="left" vertical="center" wrapText="1"/>
    </xf>
    <xf fontId="35" fillId="24" borderId="10" numFmtId="4" xfId="3732" applyNumberFormat="1" applyFont="1" applyFill="1" applyBorder="1" applyAlignment="1">
      <alignment horizontal="center" vertical="center" wrapText="1"/>
    </xf>
    <xf fontId="46" fillId="0" borderId="0" numFmtId="0" xfId="3732" applyFont="1"/>
    <xf fontId="47" fillId="0" borderId="0" numFmtId="0" xfId="3732" applyFont="1"/>
    <xf fontId="48" fillId="0" borderId="0" numFmtId="0" xfId="3732" applyFont="1"/>
    <xf fontId="47" fillId="0" borderId="0" numFmtId="2" xfId="3732" applyNumberFormat="1" applyFont="1"/>
    <xf fontId="40" fillId="0" borderId="0" numFmtId="0" xfId="3732" applyFont="1" applyAlignment="1">
      <alignment vertical="center"/>
    </xf>
    <xf fontId="40" fillId="26" borderId="10" numFmtId="2" xfId="3732" applyNumberFormat="1" applyFont="1" applyFill="1" applyBorder="1" applyAlignment="1">
      <alignment horizontal="center" vertical="center" wrapText="1"/>
    </xf>
    <xf fontId="0" fillId="0" borderId="0" numFmtId="0" xfId="0"/>
    <xf fontId="0" fillId="0" borderId="0" numFmtId="0" xfId="0" applyAlignment="1">
      <alignment wrapText="1"/>
    </xf>
    <xf fontId="49" fillId="0" borderId="0" numFmtId="0" xfId="0" applyFont="1" applyAlignment="1">
      <alignment horizontal="center" wrapText="1"/>
    </xf>
    <xf fontId="49" fillId="0" borderId="0" numFmtId="0" xfId="0" applyFont="1" applyAlignment="1">
      <alignment horizontal="center"/>
    </xf>
    <xf fontId="50" fillId="0" borderId="0" numFmtId="0" xfId="0" applyFont="1"/>
    <xf fontId="10" fillId="0" borderId="0" numFmtId="0" xfId="3730" applyFont="1"/>
    <xf fontId="51" fillId="0" borderId="0" numFmtId="0" xfId="3730" applyFont="1"/>
    <xf fontId="52" fillId="0" borderId="0" numFmtId="0" xfId="3730" applyFont="1"/>
    <xf fontId="8" fillId="0" borderId="0" numFmtId="0" xfId="3731" applyFont="1"/>
    <xf fontId="49" fillId="0" borderId="0" numFmtId="0" xfId="0" applyFont="1"/>
    <xf fontId="53" fillId="0" borderId="10" numFmtId="0" xfId="3730" applyFont="1" applyBorder="1"/>
    <xf fontId="54" fillId="24" borderId="10" numFmtId="0" xfId="3730" applyFont="1" applyFill="1" applyBorder="1" applyAlignment="1">
      <alignment horizontal="left" vertical="center" wrapText="1"/>
    </xf>
    <xf fontId="54" fillId="24" borderId="10" numFmtId="2" xfId="3730" applyNumberFormat="1" applyFont="1" applyFill="1" applyBorder="1" applyAlignment="1">
      <alignment horizontal="center" vertical="center"/>
    </xf>
    <xf fontId="55" fillId="0" borderId="10" numFmtId="0" xfId="3730" applyFont="1" applyBorder="1" applyAlignment="1">
      <alignment horizontal="center" vertical="center"/>
    </xf>
    <xf fontId="40" fillId="0" borderId="10" numFmtId="0" xfId="3730" applyFont="1" applyBorder="1" applyAlignment="1">
      <alignment horizontal="left" vertical="center" wrapText="1"/>
    </xf>
    <xf fontId="40" fillId="27" borderId="10" numFmtId="2" xfId="3730" applyNumberFormat="1" applyFont="1" applyFill="1" applyBorder="1" applyAlignment="1">
      <alignment horizontal="center" vertical="center"/>
    </xf>
    <xf fontId="40" fillId="25" borderId="16" numFmtId="2" xfId="3730" applyNumberFormat="1" applyFont="1" applyFill="1" applyBorder="1" applyAlignment="1">
      <alignment horizontal="center" vertical="center"/>
    </xf>
    <xf fontId="40" fillId="25" borderId="10" numFmtId="2" xfId="3730" applyNumberFormat="1" applyFont="1" applyFill="1" applyBorder="1" applyAlignment="1">
      <alignment horizontal="center" vertical="center"/>
    </xf>
    <xf fontId="40" fillId="0" borderId="10" numFmtId="2" xfId="3730" applyNumberFormat="1" applyFont="1" applyBorder="1" applyAlignment="1">
      <alignment horizontal="center" vertical="center"/>
    </xf>
    <xf fontId="40" fillId="0" borderId="16" numFmtId="2" xfId="3730" applyNumberFormat="1" applyFont="1" applyBorder="1" applyAlignment="1">
      <alignment horizontal="center" vertical="center"/>
    </xf>
    <xf fontId="40" fillId="0" borderId="10" numFmtId="0" xfId="3730" applyFont="1" applyBorder="1" applyAlignment="1">
      <alignment horizontal="left" vertical="center"/>
    </xf>
    <xf fontId="40" fillId="0" borderId="10" numFmtId="0" xfId="3730" applyFont="1" applyBorder="1" applyAlignment="1">
      <alignment vertical="center" wrapText="1"/>
    </xf>
    <xf fontId="40" fillId="0" borderId="10" numFmtId="0" xfId="3730" applyFont="1" applyBorder="1" applyAlignment="1">
      <alignment vertical="center"/>
    </xf>
    <xf fontId="56" fillId="0" borderId="0" numFmtId="0" xfId="3730" applyFont="1"/>
    <xf fontId="57" fillId="0" borderId="0" numFmtId="0" xfId="3731" applyFont="1"/>
    <xf fontId="58" fillId="0" borderId="0" numFmtId="0" xfId="0" applyFont="1" applyAlignment="1">
      <alignment wrapText="1"/>
    </xf>
    <xf fontId="9" fillId="0" borderId="0" numFmtId="0" xfId="2183" applyFont="1"/>
    <xf fontId="59" fillId="0" borderId="0" numFmtId="0" xfId="2183" applyFont="1"/>
    <xf fontId="60" fillId="0" borderId="0" numFmtId="0" xfId="2183" applyFont="1" applyAlignment="1">
      <alignment horizontal="center" vertical="center"/>
    </xf>
    <xf fontId="59" fillId="0" borderId="17" numFmtId="0" xfId="2183" applyFont="1" applyBorder="1" applyAlignment="1">
      <alignment horizontal="center" vertical="center"/>
    </xf>
    <xf fontId="59" fillId="0" borderId="18" numFmtId="0" xfId="2183" applyFont="1" applyBorder="1" applyAlignment="1">
      <alignment horizontal="center" vertical="center"/>
    </xf>
    <xf fontId="59" fillId="0" borderId="19" numFmtId="0" xfId="2183" applyFont="1" applyBorder="1" applyAlignment="1">
      <alignment horizontal="center" vertical="center" wrapText="1"/>
    </xf>
    <xf fontId="59" fillId="0" borderId="20" numFmtId="0" xfId="2183" applyFont="1" applyBorder="1" applyAlignment="1">
      <alignment horizontal="center" vertical="center" wrapText="1"/>
    </xf>
    <xf fontId="59" fillId="0" borderId="0" numFmtId="0" xfId="2183" applyFont="1" applyAlignment="1">
      <alignment horizontal="center" vertical="center" wrapText="1"/>
    </xf>
    <xf fontId="59" fillId="0" borderId="21" numFmtId="0" xfId="3708" applyFont="1" applyBorder="1" applyAlignment="1">
      <alignment horizontal="center" vertical="center" wrapText="1"/>
    </xf>
    <xf fontId="59" fillId="0" borderId="22" numFmtId="0" xfId="3708" applyFont="1" applyBorder="1" applyAlignment="1">
      <alignment horizontal="center" vertical="center" wrapText="1"/>
    </xf>
    <xf fontId="59" fillId="0" borderId="23" numFmtId="0" xfId="3708" applyFont="1" applyBorder="1" applyAlignment="1">
      <alignment horizontal="center" vertical="center" wrapText="1"/>
    </xf>
    <xf fontId="59" fillId="0" borderId="17" numFmtId="0" xfId="3708" applyFont="1" applyBorder="1" applyAlignment="1">
      <alignment horizontal="center" vertical="center" wrapText="1"/>
    </xf>
    <xf fontId="59" fillId="0" borderId="18" numFmtId="0" xfId="3708" applyFont="1" applyBorder="1" applyAlignment="1">
      <alignment horizontal="center" vertical="center" wrapText="1"/>
    </xf>
    <xf fontId="59" fillId="0" borderId="24" numFmtId="0" xfId="3708" applyFont="1" applyBorder="1" applyAlignment="1">
      <alignment horizontal="center" vertical="center" wrapText="1"/>
    </xf>
    <xf fontId="59" fillId="0" borderId="0" numFmtId="0" xfId="3708" applyFont="1" applyAlignment="1">
      <alignment horizontal="center" vertical="center" wrapText="1"/>
    </xf>
    <xf fontId="9" fillId="0" borderId="0" numFmtId="0" xfId="2183" applyFont="1" applyAlignment="1">
      <alignment vertical="center"/>
    </xf>
    <xf fontId="61" fillId="0" borderId="25" numFmtId="0" xfId="3728" applyFont="1" applyBorder="1" applyAlignment="1">
      <alignment vertical="center"/>
    </xf>
    <xf fontId="59" fillId="0" borderId="26" numFmtId="3" xfId="2183" applyNumberFormat="1" applyFont="1" applyBorder="1" applyAlignment="1">
      <alignment horizontal="center" vertical="center"/>
    </xf>
    <xf fontId="59" fillId="0" borderId="26" numFmtId="4" xfId="2183" applyNumberFormat="1" applyFont="1" applyBorder="1" applyAlignment="1">
      <alignment horizontal="center" vertical="center"/>
    </xf>
    <xf fontId="59" fillId="0" borderId="27" numFmtId="4" xfId="2183" applyNumberFormat="1" applyFont="1" applyBorder="1" applyAlignment="1">
      <alignment horizontal="center" vertical="center"/>
    </xf>
    <xf fontId="59" fillId="0" borderId="0" numFmtId="4" xfId="2183" applyNumberFormat="1" applyFont="1" applyAlignment="1">
      <alignment horizontal="center" vertical="center"/>
    </xf>
    <xf fontId="59" fillId="0" borderId="25" numFmtId="3" xfId="2183" applyNumberFormat="1" applyFont="1" applyBorder="1" applyAlignment="1">
      <alignment horizontal="center" vertical="center"/>
    </xf>
    <xf fontId="59" fillId="0" borderId="28" numFmtId="4" xfId="2183" applyNumberFormat="1" applyFont="1" applyBorder="1" applyAlignment="1">
      <alignment horizontal="center" vertical="center"/>
    </xf>
    <xf fontId="59" fillId="0" borderId="25" numFmtId="4" xfId="2183" applyNumberFormat="1" applyFont="1" applyBorder="1" applyAlignment="1">
      <alignment horizontal="center" vertical="center"/>
    </xf>
    <xf fontId="59" fillId="0" borderId="0" numFmtId="0" xfId="2183" applyFont="1" applyAlignment="1">
      <alignment vertical="center"/>
    </xf>
    <xf fontId="62" fillId="0" borderId="0" numFmtId="0" xfId="2183" applyFont="1" applyAlignment="1">
      <alignment vertical="center"/>
    </xf>
    <xf fontId="63" fillId="0" borderId="29" numFmtId="0" xfId="2932" applyFont="1" applyBorder="1" applyAlignment="1">
      <alignment vertical="center" wrapText="1"/>
    </xf>
    <xf fontId="64" fillId="0" borderId="30" numFmtId="3" xfId="2183" applyNumberFormat="1" applyFont="1" applyBorder="1" applyAlignment="1">
      <alignment horizontal="center" vertical="center"/>
    </xf>
    <xf fontId="64" fillId="0" borderId="30" numFmtId="4" xfId="2183" applyNumberFormat="1" applyFont="1" applyBorder="1" applyAlignment="1">
      <alignment horizontal="center" vertical="center"/>
    </xf>
    <xf fontId="64" fillId="0" borderId="31" numFmtId="4" xfId="2183" applyNumberFormat="1" applyFont="1" applyBorder="1" applyAlignment="1">
      <alignment horizontal="center" vertical="center"/>
    </xf>
    <xf fontId="64" fillId="0" borderId="0" numFmtId="4" xfId="2183" applyNumberFormat="1" applyFont="1" applyAlignment="1">
      <alignment horizontal="center" vertical="center"/>
    </xf>
    <xf fontId="64" fillId="0" borderId="29" numFmtId="3" xfId="2183" applyNumberFormat="1" applyFont="1" applyBorder="1" applyAlignment="1">
      <alignment horizontal="center" vertical="center"/>
    </xf>
    <xf fontId="64" fillId="0" borderId="32" numFmtId="4" xfId="2183" applyNumberFormat="1" applyFont="1" applyBorder="1" applyAlignment="1">
      <alignment horizontal="center" vertical="center"/>
    </xf>
    <xf fontId="64" fillId="0" borderId="29" numFmtId="4" xfId="2183" applyNumberFormat="1" applyFont="1" applyBorder="1" applyAlignment="1">
      <alignment horizontal="center" vertical="center"/>
    </xf>
    <xf fontId="65" fillId="0" borderId="0" numFmtId="0" xfId="2183" applyFont="1"/>
    <xf fontId="60" fillId="0" borderId="33" numFmtId="0" xfId="2183" applyFont="1" applyBorder="1" applyAlignment="1">
      <alignment horizontal="center" vertical="center"/>
    </xf>
    <xf fontId="59" fillId="0" borderId="34" numFmtId="0" xfId="2183" applyFont="1" applyBorder="1" applyAlignment="1">
      <alignment horizontal="center" vertical="center"/>
    </xf>
    <xf fontId="59" fillId="0" borderId="35" numFmtId="0" xfId="2183" applyFont="1" applyBorder="1" applyAlignment="1">
      <alignment horizontal="center" vertical="center"/>
    </xf>
    <xf fontId="59" fillId="0" borderId="36" numFmtId="0" xfId="2183" applyFont="1" applyBorder="1" applyAlignment="1">
      <alignment horizontal="center" vertical="center" wrapText="1"/>
    </xf>
    <xf fontId="59" fillId="0" borderId="37" numFmtId="0" xfId="2183" applyFont="1" applyBorder="1" applyAlignment="1">
      <alignment horizontal="center" vertical="center" wrapText="1"/>
    </xf>
    <xf fontId="59" fillId="0" borderId="38" numFmtId="0" xfId="2183" applyFont="1" applyBorder="1" applyAlignment="1">
      <alignment horizontal="center" vertical="center"/>
    </xf>
    <xf fontId="59" fillId="0" borderId="37" numFmtId="0" xfId="2183" applyFont="1" applyBorder="1" applyAlignment="1">
      <alignment horizontal="center" vertical="center"/>
    </xf>
    <xf fontId="59" fillId="0" borderId="16" numFmtId="0" xfId="2183" applyFont="1" applyBorder="1" applyAlignment="1">
      <alignment horizontal="center" vertical="center"/>
    </xf>
    <xf fontId="59" fillId="0" borderId="39" numFmtId="0" xfId="2183" applyFont="1" applyBorder="1" applyAlignment="1">
      <alignment horizontal="center" vertical="center"/>
    </xf>
    <xf fontId="61" fillId="0" borderId="40" numFmtId="0" xfId="3728" applyFont="1" applyBorder="1" applyAlignment="1">
      <alignment vertical="center"/>
    </xf>
    <xf fontId="59" fillId="0" borderId="41" numFmtId="4" xfId="2183" applyNumberFormat="1" applyFont="1" applyBorder="1" applyAlignment="1">
      <alignment horizontal="center" vertical="center"/>
    </xf>
    <xf fontId="66" fillId="0" borderId="42" numFmtId="3" xfId="2183" applyNumberFormat="1" applyFont="1" applyBorder="1" applyAlignment="1">
      <alignment horizontal="left" vertical="center" wrapText="1"/>
    </xf>
    <xf fontId="66" fillId="0" borderId="43" numFmtId="3" xfId="2183" applyNumberFormat="1" applyFont="1" applyBorder="1" applyAlignment="1">
      <alignment horizontal="center" vertical="center"/>
    </xf>
    <xf fontId="59" fillId="0" borderId="34" numFmtId="4" xfId="2183" applyNumberFormat="1" applyFont="1" applyBorder="1" applyAlignment="1">
      <alignment horizontal="center" vertical="center"/>
    </xf>
    <xf fontId="59" fillId="0" borderId="44" numFmtId="4" xfId="2183" applyNumberFormat="1" applyFont="1" applyBorder="1" applyAlignment="1">
      <alignment horizontal="center" vertical="center"/>
    </xf>
    <xf fontId="66" fillId="0" borderId="45" numFmtId="3" xfId="2183" applyNumberFormat="1" applyFont="1" applyBorder="1" applyAlignment="1">
      <alignment horizontal="center" vertical="center"/>
    </xf>
    <xf fontId="66" fillId="0" borderId="41" numFmtId="3" xfId="2183" applyNumberFormat="1" applyFont="1" applyBorder="1" applyAlignment="1">
      <alignment horizontal="center" vertical="center"/>
    </xf>
    <xf fontId="59" fillId="0" borderId="40" numFmtId="4" xfId="2183" applyNumberFormat="1" applyFont="1" applyBorder="1" applyAlignment="1">
      <alignment horizontal="center" vertical="center"/>
    </xf>
    <xf fontId="66" fillId="0" borderId="45" numFmtId="3" xfId="2183" applyNumberFormat="1" applyFont="1" applyBorder="1" applyAlignment="1">
      <alignment horizontal="left" vertical="center" wrapText="1"/>
    </xf>
    <xf fontId="66" fillId="0" borderId="41" numFmtId="3" xfId="2183" applyNumberFormat="1" applyFont="1" applyBorder="1" applyAlignment="1">
      <alignment horizontal="left" vertical="center" wrapText="1"/>
    </xf>
    <xf fontId="66" fillId="0" borderId="45" numFmtId="3" xfId="2183" applyNumberFormat="1" applyFont="1" applyBorder="1" applyAlignment="1">
      <alignment horizontal="left" vertical="center"/>
    </xf>
    <xf fontId="63" fillId="0" borderId="46" numFmtId="0" xfId="2932" applyFont="1" applyBorder="1" applyAlignment="1">
      <alignment vertical="center" wrapText="1"/>
    </xf>
    <xf fontId="64" fillId="0" borderId="47" numFmtId="3" xfId="2183" applyNumberFormat="1" applyFont="1" applyBorder="1" applyAlignment="1">
      <alignment horizontal="center" vertical="center"/>
    </xf>
    <xf fontId="64" fillId="0" borderId="47" numFmtId="4" xfId="2183" applyNumberFormat="1" applyFont="1" applyBorder="1" applyAlignment="1">
      <alignment horizontal="center" vertical="center"/>
    </xf>
    <xf fontId="64" fillId="0" borderId="48" numFmtId="4" xfId="2183" applyNumberFormat="1" applyFont="1" applyBorder="1" applyAlignment="1">
      <alignment horizontal="center" vertical="center"/>
    </xf>
    <xf fontId="67" fillId="0" borderId="38" numFmtId="3" xfId="2183" applyNumberFormat="1" applyFont="1" applyBorder="1" applyAlignment="1">
      <alignment horizontal="center" vertical="center"/>
    </xf>
    <xf fontId="67" fillId="0" borderId="37" numFmtId="3" xfId="2183" applyNumberFormat="1" applyFont="1" applyBorder="1" applyAlignment="1">
      <alignment horizontal="center" vertical="center"/>
    </xf>
    <xf fontId="64" fillId="0" borderId="49" numFmtId="4" xfId="2183" applyNumberFormat="1" applyFont="1" applyBorder="1" applyAlignment="1">
      <alignment horizontal="center" vertical="center"/>
    </xf>
    <xf fontId="64" fillId="0" borderId="37" numFmtId="4" xfId="2183" applyNumberFormat="1" applyFont="1" applyBorder="1" applyAlignment="1">
      <alignment horizontal="center" vertical="center"/>
    </xf>
    <xf fontId="9" fillId="0" borderId="0" numFmtId="0" xfId="2184" applyFont="1"/>
    <xf fontId="59" fillId="0" borderId="0" numFmtId="0" xfId="2184" applyFont="1"/>
    <xf fontId="67" fillId="0" borderId="0" numFmtId="0" xfId="2184" applyFont="1"/>
    <xf fontId="66" fillId="0" borderId="0" numFmtId="0" xfId="2184" applyFont="1" applyAlignment="1">
      <alignment horizontal="center" vertical="center" wrapText="1"/>
    </xf>
    <xf fontId="66" fillId="0" borderId="0" numFmtId="0" xfId="2184" applyFont="1"/>
    <xf fontId="66" fillId="0" borderId="0" numFmtId="4" xfId="2184" applyNumberFormat="1" applyFont="1" applyAlignment="1">
      <alignment horizontal="left"/>
    </xf>
    <xf fontId="66" fillId="0" borderId="0" numFmtId="4" xfId="2184" applyNumberFormat="1" applyFont="1"/>
    <xf fontId="67" fillId="0" borderId="0" numFmtId="4" xfId="2184" applyNumberFormat="1" applyFont="1" applyAlignment="1">
      <alignment horizontal="left"/>
    </xf>
    <xf fontId="66" fillId="0" borderId="0" numFmtId="0" xfId="2184" applyFont="1" applyAlignment="1">
      <alignment horizontal="left"/>
    </xf>
    <xf fontId="67" fillId="0" borderId="0" numFmtId="4" xfId="2184" applyNumberFormat="1" applyFont="1"/>
    <xf fontId="62" fillId="0" borderId="0" numFmtId="0" xfId="2184" applyFont="1"/>
    <xf fontId="68" fillId="0" borderId="0" numFmtId="4" xfId="2184" applyNumberFormat="1" applyFont="1"/>
    <xf fontId="62" fillId="0" borderId="0" numFmtId="3" xfId="2184" applyNumberFormat="1" applyFont="1"/>
    <xf fontId="64" fillId="0" borderId="0" numFmtId="0" xfId="2184" applyFont="1"/>
    <xf fontId="69" fillId="0" borderId="0" numFmtId="0" xfId="3729" applyFont="1"/>
    <xf fontId="70" fillId="0" borderId="49" numFmtId="0" xfId="3729" applyFont="1" applyBorder="1" applyAlignment="1">
      <alignment horizontal="center" vertical="center" wrapText="1"/>
    </xf>
    <xf fontId="70" fillId="0" borderId="36" numFmtId="0" xfId="3729" applyFont="1" applyBorder="1" applyAlignment="1">
      <alignment horizontal="center" vertical="center"/>
    </xf>
    <xf fontId="70" fillId="0" borderId="36" numFmtId="3" xfId="3729" applyNumberFormat="1" applyFont="1" applyBorder="1" applyAlignment="1">
      <alignment horizontal="center" vertical="center" wrapText="1"/>
    </xf>
    <xf fontId="70" fillId="28" borderId="36" numFmtId="3" xfId="3729" applyNumberFormat="1" applyFont="1" applyFill="1" applyBorder="1" applyAlignment="1">
      <alignment horizontal="center" vertical="center" wrapText="1"/>
    </xf>
    <xf fontId="70" fillId="0" borderId="37" numFmtId="3" xfId="3729" applyNumberFormat="1" applyFont="1" applyBorder="1" applyAlignment="1">
      <alignment horizontal="center" vertical="center" wrapText="1"/>
    </xf>
    <xf fontId="71" fillId="0" borderId="0" numFmtId="0" xfId="3729" applyFont="1"/>
    <xf fontId="71" fillId="0" borderId="50" numFmtId="3" xfId="3729" applyNumberFormat="1" applyFont="1" applyBorder="1" applyAlignment="1">
      <alignment horizontal="center"/>
    </xf>
    <xf fontId="71" fillId="0" borderId="51" numFmtId="3" xfId="3729" applyNumberFormat="1" applyFont="1" applyBorder="1" applyAlignment="1">
      <alignment horizontal="center"/>
    </xf>
    <xf fontId="71" fillId="28" borderId="51" numFmtId="4" xfId="3729" applyNumberFormat="1" applyFont="1" applyFill="1" applyBorder="1" applyAlignment="1">
      <alignment horizontal="center"/>
    </xf>
    <xf fontId="71" fillId="0" borderId="51" numFmtId="4" xfId="3729" applyNumberFormat="1" applyFont="1" applyBorder="1" applyAlignment="1">
      <alignment horizontal="center"/>
    </xf>
    <xf fontId="71" fillId="0" borderId="52" numFmtId="4" xfId="3729" applyNumberFormat="1" applyFont="1" applyBorder="1" applyAlignment="1">
      <alignment horizontal="center"/>
    </xf>
    <xf fontId="69" fillId="0" borderId="0" numFmtId="0" xfId="3729" applyFont="1" applyAlignment="1">
      <alignment vertical="center"/>
    </xf>
    <xf fontId="71" fillId="0" borderId="34" numFmtId="3" xfId="3729" applyNumberFormat="1" applyFont="1" applyBorder="1" applyAlignment="1">
      <alignment horizontal="center" vertical="center" wrapText="1"/>
    </xf>
    <xf fontId="71" fillId="0" borderId="35" numFmtId="3" xfId="3729" applyNumberFormat="1" applyFont="1" applyBorder="1" applyAlignment="1">
      <alignment horizontal="center" vertical="center"/>
    </xf>
    <xf fontId="71" fillId="0" borderId="53" numFmtId="3" xfId="3729" applyNumberFormat="1" applyFont="1" applyBorder="1" applyAlignment="1">
      <alignment horizontal="center" vertical="center"/>
    </xf>
    <xf fontId="71" fillId="28" borderId="53" numFmtId="4" xfId="3729" applyNumberFormat="1" applyFont="1" applyFill="1" applyBorder="1" applyAlignment="1">
      <alignment horizontal="center" vertical="center"/>
    </xf>
    <xf fontId="71" fillId="0" borderId="53" numFmtId="4" xfId="3729" applyNumberFormat="1" applyFont="1" applyBorder="1" applyAlignment="1">
      <alignment horizontal="center" vertical="center"/>
    </xf>
    <xf fontId="71" fillId="0" borderId="54" numFmtId="4" xfId="3729" applyNumberFormat="1" applyFont="1" applyBorder="1" applyAlignment="1">
      <alignment horizontal="center" vertical="center"/>
    </xf>
    <xf fontId="71" fillId="0" borderId="0" numFmtId="0" xfId="3729" applyFont="1" applyAlignment="1">
      <alignment vertical="center"/>
    </xf>
    <xf fontId="71" fillId="0" borderId="40" numFmtId="3" xfId="3729" applyNumberFormat="1" applyFont="1" applyBorder="1" applyAlignment="1">
      <alignment horizontal="center" vertical="center" wrapText="1"/>
    </xf>
    <xf fontId="71" fillId="0" borderId="26" numFmtId="3" xfId="3729" applyNumberFormat="1" applyFont="1" applyBorder="1" applyAlignment="1">
      <alignment horizontal="center" vertical="center"/>
    </xf>
    <xf fontId="71" fillId="0" borderId="51" numFmtId="3" xfId="3729" applyNumberFormat="1" applyFont="1" applyBorder="1" applyAlignment="1">
      <alignment horizontal="center" vertical="center"/>
    </xf>
    <xf fontId="71" fillId="28" borderId="51" numFmtId="4" xfId="3729" applyNumberFormat="1" applyFont="1" applyFill="1" applyBorder="1" applyAlignment="1">
      <alignment horizontal="center" vertical="center"/>
    </xf>
    <xf fontId="71" fillId="0" borderId="51" numFmtId="4" xfId="3729" applyNumberFormat="1" applyFont="1" applyBorder="1" applyAlignment="1">
      <alignment horizontal="center" vertical="center"/>
    </xf>
    <xf fontId="71" fillId="0" borderId="52" numFmtId="4" xfId="3729" applyNumberFormat="1" applyFont="1" applyBorder="1" applyAlignment="1">
      <alignment horizontal="center" vertical="center"/>
    </xf>
    <xf fontId="71" fillId="0" borderId="26" numFmtId="3" xfId="3729" applyNumberFormat="1" applyFont="1" applyBorder="1" applyAlignment="1">
      <alignment horizontal="center" vertical="center" wrapText="1"/>
    </xf>
    <xf fontId="71" fillId="0" borderId="46" numFmtId="3" xfId="3729" applyNumberFormat="1" applyFont="1" applyBorder="1" applyAlignment="1">
      <alignment horizontal="center" vertical="center" wrapText="1"/>
    </xf>
    <xf fontId="71" fillId="0" borderId="47" numFmtId="3" xfId="3729" applyNumberFormat="1" applyFont="1" applyBorder="1" applyAlignment="1">
      <alignment horizontal="center" vertical="center"/>
    </xf>
    <xf fontId="71" fillId="0" borderId="55" numFmtId="3" xfId="3729" applyNumberFormat="1" applyFont="1" applyBorder="1" applyAlignment="1">
      <alignment horizontal="center" vertical="center"/>
    </xf>
    <xf fontId="71" fillId="28" borderId="55" numFmtId="4" xfId="3729" applyNumberFormat="1" applyFont="1" applyFill="1" applyBorder="1" applyAlignment="1">
      <alignment horizontal="center" vertical="center"/>
    </xf>
    <xf fontId="71" fillId="0" borderId="55" numFmtId="4" xfId="3729" applyNumberFormat="1" applyFont="1" applyBorder="1" applyAlignment="1">
      <alignment horizontal="center" vertical="center"/>
    </xf>
    <xf fontId="71" fillId="0" borderId="56" numFmtId="4" xfId="3729" applyNumberFormat="1" applyFont="1" applyBorder="1" applyAlignment="1">
      <alignment horizontal="center" vertical="center"/>
    </xf>
    <xf fontId="71" fillId="0" borderId="50" numFmtId="3" xfId="3729" applyNumberFormat="1" applyFont="1" applyBorder="1" applyAlignment="1">
      <alignment horizontal="center" vertical="center" wrapText="1"/>
    </xf>
    <xf fontId="71" fillId="0" borderId="57" numFmtId="3" xfId="3729" applyNumberFormat="1" applyFont="1" applyBorder="1" applyAlignment="1">
      <alignment horizontal="center" vertical="center" wrapText="1"/>
    </xf>
    <xf fontId="71" fillId="0" borderId="58" numFmtId="3" xfId="3729" applyNumberFormat="1" applyFont="1" applyBorder="1" applyAlignment="1">
      <alignment horizontal="center" vertical="center"/>
    </xf>
    <xf fontId="71" fillId="28" borderId="58" numFmtId="4" xfId="3729" applyNumberFormat="1" applyFont="1" applyFill="1" applyBorder="1" applyAlignment="1">
      <alignment horizontal="center" vertical="center"/>
    </xf>
    <xf fontId="71" fillId="0" borderId="58" numFmtId="4" xfId="3729" applyNumberFormat="1" applyFont="1" applyBorder="1" applyAlignment="1">
      <alignment horizontal="center" vertical="center"/>
    </xf>
    <xf fontId="71" fillId="0" borderId="59" numFmtId="4" xfId="3729" applyNumberFormat="1" applyFont="1" applyBorder="1" applyAlignment="1">
      <alignment horizontal="center" vertical="center"/>
    </xf>
    <xf fontId="72" fillId="0" borderId="0" numFmtId="0" xfId="3729" applyFont="1"/>
    <xf fontId="70" fillId="0" borderId="46" numFmtId="3" xfId="3729" applyNumberFormat="1" applyFont="1" applyBorder="1" applyAlignment="1">
      <alignment horizontal="center"/>
    </xf>
    <xf fontId="70" fillId="0" borderId="47" numFmtId="3" xfId="3729" applyNumberFormat="1" applyFont="1" applyBorder="1" applyAlignment="1">
      <alignment horizontal="center"/>
    </xf>
    <xf fontId="70" fillId="28" borderId="47" numFmtId="4" xfId="3729" applyNumberFormat="1" applyFont="1" applyFill="1" applyBorder="1" applyAlignment="1">
      <alignment horizontal="center"/>
    </xf>
    <xf fontId="70" fillId="0" borderId="47" numFmtId="4" xfId="3729" applyNumberFormat="1" applyFont="1" applyBorder="1" applyAlignment="1">
      <alignment horizontal="center"/>
    </xf>
    <xf fontId="70" fillId="0" borderId="48" numFmtId="4" xfId="3729" applyNumberFormat="1" applyFont="1" applyBorder="1" applyAlignment="1">
      <alignment horizontal="center"/>
    </xf>
    <xf fontId="70" fillId="0" borderId="0" numFmtId="0" xfId="3729" applyFont="1"/>
    <xf fontId="73" fillId="0" borderId="0" numFmtId="0" xfId="2184" applyFont="1"/>
    <xf fontId="74" fillId="0" borderId="0" numFmtId="0" xfId="2184" applyFont="1"/>
    <xf fontId="70" fillId="0" borderId="36" numFmtId="0" xfId="3729" applyFont="1" applyBorder="1" applyAlignment="1">
      <alignment horizontal="center" vertical="center" wrapText="1"/>
    </xf>
    <xf fontId="70" fillId="28" borderId="36" numFmtId="0" xfId="3729" applyFont="1" applyFill="1" applyBorder="1" applyAlignment="1">
      <alignment horizontal="center" vertical="center" wrapText="1"/>
    </xf>
    <xf fontId="70" fillId="0" borderId="37" numFmtId="0" xfId="3729" applyFont="1" applyBorder="1" applyAlignment="1">
      <alignment horizontal="center" vertical="center" wrapText="1"/>
    </xf>
    <xf fontId="71" fillId="0" borderId="34" numFmtId="3" xfId="3729" applyNumberFormat="1" applyFont="1" applyBorder="1" applyAlignment="1">
      <alignment horizontal="center"/>
    </xf>
    <xf fontId="71" fillId="0" borderId="35" numFmtId="3" xfId="3729" applyNumberFormat="1" applyFont="1" applyBorder="1" applyAlignment="1">
      <alignment horizontal="center"/>
    </xf>
    <xf fontId="71" fillId="0" borderId="44" numFmtId="3" xfId="3729" applyNumberFormat="1" applyFont="1" applyBorder="1" applyAlignment="1">
      <alignment horizontal="center"/>
    </xf>
    <xf fontId="71" fillId="28" borderId="35" numFmtId="2" xfId="3729" applyNumberFormat="1" applyFont="1" applyFill="1" applyBorder="1"/>
    <xf fontId="71" fillId="28" borderId="35" numFmtId="0" xfId="3729" applyFont="1" applyFill="1" applyBorder="1"/>
    <xf fontId="71" fillId="0" borderId="35" numFmtId="2" xfId="3729" applyNumberFormat="1" applyFont="1" applyBorder="1"/>
    <xf fontId="71" fillId="0" borderId="44" numFmtId="2" xfId="3729" applyNumberFormat="1" applyFont="1" applyBorder="1"/>
    <xf fontId="71" fillId="0" borderId="60" numFmtId="0" xfId="3729" applyFont="1" applyBorder="1"/>
    <xf fontId="71" fillId="0" borderId="61" numFmtId="3" xfId="3729" applyNumberFormat="1" applyFont="1" applyBorder="1" applyAlignment="1">
      <alignment horizontal="center"/>
    </xf>
    <xf fontId="71" fillId="28" borderId="61" numFmtId="2" xfId="3729" applyNumberFormat="1" applyFont="1" applyFill="1" applyBorder="1" applyAlignment="1">
      <alignment horizontal="center"/>
    </xf>
    <xf fontId="71" fillId="28" borderId="61" numFmtId="0" xfId="3729" applyFont="1" applyFill="1" applyBorder="1" applyAlignment="1">
      <alignment horizontal="center"/>
    </xf>
    <xf fontId="71" fillId="0" borderId="61" numFmtId="2" xfId="3729" applyNumberFormat="1" applyFont="1" applyBorder="1" applyAlignment="1">
      <alignment horizontal="center"/>
    </xf>
    <xf fontId="71" fillId="0" borderId="43" numFmtId="2" xfId="3729" applyNumberFormat="1" applyFont="1" applyBorder="1" applyAlignment="1">
      <alignment horizontal="center"/>
    </xf>
    <xf fontId="71" fillId="0" borderId="40" numFmtId="3" xfId="3729" applyNumberFormat="1" applyFont="1" applyBorder="1" applyAlignment="1">
      <alignment vertical="center" wrapText="1"/>
    </xf>
    <xf fontId="71" fillId="0" borderId="26" numFmtId="3" xfId="3729" applyNumberFormat="1" applyFont="1" applyBorder="1" applyAlignment="1">
      <alignment horizontal="center"/>
    </xf>
    <xf fontId="71" fillId="0" borderId="59" numFmtId="3" xfId="3729" applyNumberFormat="1" applyFont="1" applyBorder="1" applyAlignment="1">
      <alignment horizontal="center" vertical="center"/>
    </xf>
    <xf fontId="71" fillId="28" borderId="57" numFmtId="2" xfId="3729" applyNumberFormat="1" applyFont="1" applyFill="1" applyBorder="1" applyAlignment="1">
      <alignment horizontal="center" vertical="center"/>
    </xf>
    <xf fontId="71" fillId="28" borderId="58" numFmtId="0" xfId="3729" applyFont="1" applyFill="1" applyBorder="1" applyAlignment="1">
      <alignment horizontal="center" vertical="center"/>
    </xf>
    <xf fontId="71" fillId="0" borderId="58" numFmtId="2" xfId="3729" applyNumberFormat="1" applyFont="1" applyBorder="1" applyAlignment="1">
      <alignment horizontal="center" vertical="center"/>
    </xf>
    <xf fontId="71" fillId="0" borderId="59" numFmtId="2" xfId="3729" applyNumberFormat="1" applyFont="1" applyBorder="1" applyAlignment="1">
      <alignment horizontal="center" vertical="center"/>
    </xf>
    <xf fontId="71" fillId="0" borderId="40" numFmtId="0" xfId="3729" applyFont="1" applyBorder="1"/>
    <xf fontId="71" fillId="28" borderId="26" numFmtId="2" xfId="3729" applyNumberFormat="1" applyFont="1" applyFill="1" applyBorder="1" applyAlignment="1">
      <alignment horizontal="center"/>
    </xf>
    <xf fontId="71" fillId="28" borderId="26" numFmtId="0" xfId="3729" applyFont="1" applyFill="1" applyBorder="1" applyAlignment="1">
      <alignment horizontal="center"/>
    </xf>
    <xf fontId="71" fillId="0" borderId="26" numFmtId="2" xfId="3729" applyNumberFormat="1" applyFont="1" applyBorder="1" applyAlignment="1">
      <alignment horizontal="center"/>
    </xf>
    <xf fontId="71" fillId="0" borderId="41" numFmtId="2" xfId="3729" applyNumberFormat="1" applyFont="1" applyBorder="1" applyAlignment="1">
      <alignment horizontal="center"/>
    </xf>
    <xf fontId="71" fillId="0" borderId="57" numFmtId="3" xfId="3729" applyNumberFormat="1" applyFont="1" applyBorder="1" applyAlignment="1">
      <alignment vertical="center" wrapText="1"/>
    </xf>
    <xf fontId="71" fillId="0" borderId="58" numFmtId="3" xfId="3729" applyNumberFormat="1" applyFont="1" applyBorder="1" applyAlignment="1">
      <alignment horizontal="center"/>
    </xf>
    <xf fontId="71" fillId="0" borderId="61" numFmtId="3" xfId="3729" applyNumberFormat="1" applyFont="1" applyBorder="1" applyAlignment="1">
      <alignment horizontal="center" vertical="center"/>
    </xf>
    <xf fontId="71" fillId="0" borderId="43" numFmtId="3" xfId="3729" applyNumberFormat="1" applyFont="1" applyBorder="1" applyAlignment="1">
      <alignment horizontal="center" vertical="center"/>
    </xf>
    <xf fontId="71" fillId="0" borderId="46" numFmtId="0" xfId="3729" applyFont="1" applyBorder="1"/>
    <xf fontId="71" fillId="0" borderId="47" numFmtId="3" xfId="3729" applyNumberFormat="1" applyFont="1" applyBorder="1" applyAlignment="1">
      <alignment horizontal="center"/>
    </xf>
    <xf fontId="71" fillId="28" borderId="47" numFmtId="0" xfId="3729" applyFont="1" applyFill="1" applyBorder="1"/>
    <xf fontId="71" fillId="0" borderId="47" numFmtId="0" xfId="3729" applyFont="1" applyBorder="1"/>
    <xf fontId="71" fillId="0" borderId="48" numFmtId="0" xfId="3729" applyFont="1" applyBorder="1"/>
    <xf fontId="71" fillId="0" borderId="41" numFmtId="3" xfId="3729" applyNumberFormat="1" applyFont="1" applyBorder="1" applyAlignment="1">
      <alignment horizontal="center" vertical="center"/>
    </xf>
    <xf fontId="71" fillId="28" borderId="26" numFmtId="2" xfId="3729" applyNumberFormat="1" applyFont="1" applyFill="1" applyBorder="1" applyAlignment="1">
      <alignment horizontal="center" vertical="center"/>
    </xf>
    <xf fontId="71" fillId="0" borderId="46" numFmtId="3" xfId="3729" applyNumberFormat="1" applyFont="1" applyBorder="1" applyAlignment="1">
      <alignment vertical="center" wrapText="1"/>
    </xf>
    <xf fontId="71" fillId="0" borderId="48" numFmtId="3" xfId="3729" applyNumberFormat="1" applyFont="1" applyBorder="1" applyAlignment="1">
      <alignment horizontal="center" vertical="center"/>
    </xf>
    <xf fontId="71" fillId="0" borderId="0" numFmtId="3" xfId="3729" applyNumberFormat="1" applyFont="1" applyAlignment="1">
      <alignment vertical="center" wrapText="1"/>
    </xf>
    <xf fontId="71" fillId="0" borderId="0" numFmtId="3" xfId="3729" applyNumberFormat="1" applyFont="1" applyAlignment="1">
      <alignment horizontal="center"/>
    </xf>
    <xf fontId="71" fillId="0" borderId="0" numFmtId="3" xfId="3729" applyNumberFormat="1" applyFont="1" applyAlignment="1">
      <alignment horizontal="center" vertical="center"/>
    </xf>
    <xf fontId="71" fillId="0" borderId="60" numFmtId="3" xfId="3729" applyNumberFormat="1" applyFont="1" applyBorder="1" applyAlignment="1">
      <alignment horizontal="center"/>
    </xf>
    <xf fontId="71" fillId="0" borderId="43" numFmtId="3" xfId="3729" applyNumberFormat="1" applyFont="1" applyBorder="1" applyAlignment="1">
      <alignment horizontal="center"/>
    </xf>
    <xf fontId="71" fillId="28" borderId="61" numFmtId="2" xfId="3729" applyNumberFormat="1" applyFont="1" applyFill="1" applyBorder="1"/>
    <xf fontId="71" fillId="28" borderId="61" numFmtId="0" xfId="3729" applyFont="1" applyFill="1" applyBorder="1"/>
    <xf fontId="71" fillId="0" borderId="61" numFmtId="2" xfId="3729" applyNumberFormat="1" applyFont="1" applyBorder="1"/>
    <xf fontId="71" fillId="0" borderId="43" numFmtId="2" xfId="3729" applyNumberFormat="1" applyFont="1" applyBorder="1"/>
    <xf fontId="70" fillId="0" borderId="14" numFmtId="0" xfId="2184" applyFont="1" applyBorder="1" applyAlignment="1">
      <alignment horizontal="center" vertical="center" wrapText="1"/>
    </xf>
    <xf fontId="70" fillId="0" borderId="16" numFmtId="0" xfId="2184" applyFont="1" applyBorder="1" applyAlignment="1">
      <alignment horizontal="center" vertical="center"/>
    </xf>
    <xf fontId="70" fillId="0" borderId="10" numFmtId="0" xfId="2184" applyFont="1" applyBorder="1" applyAlignment="1">
      <alignment horizontal="center" vertical="center" wrapText="1"/>
    </xf>
    <xf fontId="70" fillId="0" borderId="62" numFmtId="0" xfId="2184" applyFont="1" applyBorder="1" applyAlignment="1">
      <alignment horizontal="center" vertical="center" wrapText="1"/>
    </xf>
    <xf fontId="70" fillId="0" borderId="39" numFmtId="0" xfId="2184" applyFont="1" applyBorder="1" applyAlignment="1">
      <alignment horizontal="center" vertical="center"/>
    </xf>
    <xf fontId="69" fillId="0" borderId="0" numFmtId="0" xfId="2184" applyFont="1"/>
    <xf fontId="71" fillId="0" borderId="63" numFmtId="2" xfId="3729" applyNumberFormat="1" applyFont="1" applyBorder="1" applyAlignment="1">
      <alignment horizontal="left" vertical="center" wrapText="1"/>
    </xf>
    <xf fontId="71" fillId="0" borderId="64" numFmtId="165" xfId="3729" applyNumberFormat="1" applyFont="1" applyBorder="1" applyAlignment="1">
      <alignment horizontal="center" vertical="center" wrapText="1"/>
    </xf>
    <xf fontId="71" fillId="0" borderId="0" numFmtId="0" xfId="2184" applyFont="1"/>
    <xf fontId="71" fillId="0" borderId="65" numFmtId="2" xfId="3729" applyNumberFormat="1" applyFont="1" applyBorder="1" applyAlignment="1">
      <alignment horizontal="left" vertical="center" wrapText="1"/>
    </xf>
    <xf fontId="71" fillId="0" borderId="66" numFmtId="165" xfId="3729" applyNumberFormat="1" applyFont="1" applyBorder="1" applyAlignment="1">
      <alignment horizontal="center" vertical="center" wrapText="1"/>
    </xf>
    <xf fontId="75" fillId="0" borderId="0" numFmtId="0" xfId="2184" applyFont="1"/>
    <xf fontId="71" fillId="0" borderId="67" numFmtId="2" xfId="3729" applyNumberFormat="1" applyFont="1" applyBorder="1" applyAlignment="1">
      <alignment horizontal="left" vertical="center" wrapText="1"/>
    </xf>
    <xf fontId="71" fillId="0" borderId="68" numFmtId="165" xfId="3729" applyNumberFormat="1" applyFont="1" applyBorder="1" applyAlignment="1">
      <alignment horizontal="center" vertical="center" wrapText="1"/>
    </xf>
    <xf fontId="70" fillId="0" borderId="16" numFmtId="2" xfId="3729" applyNumberFormat="1" applyFont="1" applyBorder="1" applyAlignment="1">
      <alignment horizontal="left" vertical="center" wrapText="1"/>
    </xf>
    <xf fontId="70" fillId="0" borderId="10" numFmtId="165" xfId="3729" applyNumberFormat="1" applyFont="1" applyBorder="1" applyAlignment="1">
      <alignment horizontal="center" vertical="center" wrapText="1"/>
    </xf>
    <xf fontId="70" fillId="0" borderId="69" numFmtId="0" xfId="2184" applyFont="1" applyBorder="1" applyAlignment="1">
      <alignment horizontal="center" vertical="center" wrapText="1"/>
    </xf>
    <xf fontId="71" fillId="0" borderId="14" numFmtId="0" xfId="3729" applyFont="1" applyBorder="1" applyAlignment="1">
      <alignment horizontal="center" vertical="center"/>
    </xf>
    <xf fontId="71" fillId="0" borderId="62" numFmtId="0" xfId="3729" applyFont="1" applyBorder="1" applyAlignment="1">
      <alignment horizontal="center" vertical="center"/>
    </xf>
    <xf fontId="71" fillId="0" borderId="69" numFmtId="0" xfId="3729" applyFont="1" applyBorder="1" applyAlignment="1">
      <alignment horizontal="center" vertical="center"/>
    </xf>
    <xf fontId="68" fillId="0" borderId="0" numFmtId="0" xfId="2184" applyFont="1"/>
    <xf fontId="62" fillId="0" borderId="0" numFmtId="4" xfId="2184" applyNumberFormat="1" applyFont="1"/>
    <xf fontId="62" fillId="0" borderId="0" numFmtId="0" xfId="2184" applyFont="1" applyAlignment="1">
      <alignment horizontal="center"/>
    </xf>
    <xf fontId="62" fillId="0" borderId="49" numFmtId="0" xfId="2184" applyFont="1" applyBorder="1"/>
    <xf fontId="61" fillId="0" borderId="36" numFmtId="0" xfId="2184" applyFont="1" applyBorder="1" applyAlignment="1">
      <alignment horizontal="center" vertical="center"/>
    </xf>
    <xf fontId="62" fillId="0" borderId="36" numFmtId="0" xfId="2184" applyFont="1" applyBorder="1" applyAlignment="1">
      <alignment horizontal="center" vertical="center"/>
    </xf>
    <xf fontId="62" fillId="0" borderId="36" numFmtId="0" xfId="2184" applyFont="1" applyBorder="1" applyAlignment="1">
      <alignment horizontal="center" vertical="center" wrapText="1"/>
    </xf>
    <xf fontId="62" fillId="0" borderId="37" numFmtId="0" xfId="2184" applyFont="1" applyBorder="1" applyAlignment="1">
      <alignment horizontal="center" vertical="center" wrapText="1"/>
    </xf>
    <xf fontId="62" fillId="0" borderId="60" numFmtId="0" xfId="2184" applyFont="1" applyBorder="1"/>
    <xf fontId="61" fillId="0" borderId="61" numFmtId="0" xfId="2184" applyFont="1" applyBorder="1"/>
    <xf fontId="62" fillId="0" borderId="61" numFmtId="0" xfId="2184" applyFont="1" applyBorder="1"/>
    <xf fontId="62" fillId="0" borderId="43" numFmtId="0" xfId="2184" applyFont="1" applyBorder="1"/>
    <xf fontId="62" fillId="0" borderId="40" numFmtId="0" xfId="2184" applyFont="1" applyBorder="1"/>
    <xf fontId="61" fillId="0" borderId="26" numFmtId="0" xfId="2184" applyFont="1" applyBorder="1"/>
    <xf fontId="62" fillId="0" borderId="26" numFmtId="0" xfId="2184" applyFont="1" applyBorder="1"/>
    <xf fontId="62" fillId="0" borderId="41" numFmtId="0" xfId="2184" applyFont="1" applyBorder="1"/>
    <xf fontId="62" fillId="0" borderId="46" numFmtId="0" xfId="2184" applyFont="1" applyBorder="1"/>
    <xf fontId="61" fillId="0" borderId="47" numFmtId="0" xfId="2184" applyFont="1" applyBorder="1"/>
    <xf fontId="62" fillId="0" borderId="47" numFmtId="0" xfId="2184" applyFont="1" applyBorder="1"/>
    <xf fontId="62" fillId="0" borderId="48" numFmtId="0" xfId="2184" applyFont="1" applyBorder="1"/>
    <xf fontId="61" fillId="0" borderId="0" numFmtId="0" xfId="3727" applyFont="1"/>
    <xf fontId="61" fillId="0" borderId="34" numFmtId="0" xfId="3727" applyFont="1" applyBorder="1" applyAlignment="1">
      <alignment horizontal="left" wrapText="1"/>
    </xf>
    <xf fontId="61" fillId="0" borderId="35" numFmtId="0" xfId="3727" applyFont="1" applyBorder="1" applyAlignment="1">
      <alignment horizontal="left" wrapText="1"/>
    </xf>
    <xf fontId="61" fillId="0" borderId="44" numFmtId="0" xfId="3727" applyFont="1" applyBorder="1"/>
    <xf fontId="63" fillId="0" borderId="0" numFmtId="2" xfId="3727" applyNumberFormat="1" applyFont="1"/>
    <xf fontId="61" fillId="0" borderId="0" numFmtId="2" xfId="3727" applyNumberFormat="1" applyFont="1"/>
    <xf fontId="61" fillId="0" borderId="40" numFmtId="0" xfId="3727" applyFont="1" applyBorder="1" applyAlignment="1">
      <alignment horizontal="left" wrapText="1"/>
    </xf>
    <xf fontId="61" fillId="0" borderId="26" numFmtId="0" xfId="3727" applyFont="1" applyBorder="1" applyAlignment="1">
      <alignment horizontal="left" wrapText="1"/>
    </xf>
    <xf fontId="61" fillId="0" borderId="41" numFmtId="0" xfId="3727" applyFont="1" applyBorder="1"/>
    <xf fontId="61" fillId="0" borderId="46" numFmtId="0" xfId="3727" applyFont="1" applyBorder="1" applyAlignment="1">
      <alignment horizontal="left" wrapText="1"/>
    </xf>
    <xf fontId="61" fillId="0" borderId="47" numFmtId="0" xfId="3727" applyFont="1" applyBorder="1" applyAlignment="1">
      <alignment horizontal="left" wrapText="1"/>
    </xf>
    <xf fontId="61" fillId="0" borderId="48" numFmtId="0" xfId="3727" applyFont="1" applyBorder="1"/>
    <xf fontId="61" fillId="29" borderId="49" numFmtId="0" xfId="3727" applyFont="1" applyFill="1" applyBorder="1"/>
    <xf fontId="61" fillId="29" borderId="36" numFmtId="0" xfId="3727" applyFont="1" applyFill="1" applyBorder="1"/>
    <xf fontId="61" fillId="29" borderId="37" numFmtId="4" xfId="3727" applyNumberFormat="1" applyFont="1" applyFill="1" applyBorder="1"/>
    <xf fontId="61" fillId="0" borderId="0" numFmtId="4" xfId="3727" applyNumberFormat="1" applyFont="1"/>
    <xf fontId="61" fillId="0" borderId="0" numFmtId="0" xfId="3727" applyFont="1" applyAlignment="1">
      <alignment horizontal="right"/>
    </xf>
    <xf fontId="63" fillId="0" borderId="0" numFmtId="9" xfId="3727" applyNumberFormat="1" applyFont="1"/>
    <xf fontId="61" fillId="0" borderId="0" numFmtId="0" xfId="3178" applyFont="1"/>
    <xf fontId="63" fillId="0" borderId="0" numFmtId="0" xfId="3178" applyFont="1"/>
    <xf fontId="61" fillId="0" borderId="0" numFmtId="0" xfId="3178" applyFont="1" applyAlignment="1">
      <alignment horizontal="center"/>
    </xf>
    <xf fontId="76" fillId="0" borderId="0" numFmtId="0" xfId="2935" applyFont="1"/>
    <xf fontId="63" fillId="0" borderId="0" numFmtId="0" xfId="3727" applyFont="1"/>
    <xf fontId="63" fillId="0" borderId="0" numFmtId="4" xfId="3727" applyNumberFormat="1" applyFont="1"/>
    <xf fontId="59" fillId="0" borderId="0" numFmtId="0" xfId="3726" applyFont="1"/>
    <xf fontId="68" fillId="0" borderId="0" numFmtId="0" xfId="3726" applyFont="1" applyAlignment="1">
      <alignment horizontal="center" vertical="center"/>
    </xf>
    <xf fontId="68" fillId="0" borderId="34" numFmtId="0" xfId="3726" applyFont="1" applyBorder="1" applyAlignment="1">
      <alignment horizontal="center" vertical="center"/>
    </xf>
    <xf fontId="68" fillId="0" borderId="53" numFmtId="0" xfId="3726" applyFont="1" applyBorder="1" applyAlignment="1">
      <alignment horizontal="center" vertical="center" wrapText="1"/>
    </xf>
    <xf fontId="68" fillId="0" borderId="35" numFmtId="0" xfId="3726" applyFont="1" applyBorder="1" applyAlignment="1">
      <alignment horizontal="center" vertical="center" wrapText="1"/>
    </xf>
    <xf fontId="68" fillId="0" borderId="44" numFmtId="0" xfId="3726" applyFont="1" applyBorder="1" applyAlignment="1">
      <alignment horizontal="center" vertical="center" wrapText="1"/>
    </xf>
    <xf fontId="68" fillId="0" borderId="34" numFmtId="0" xfId="3726" applyFont="1" applyBorder="1" applyAlignment="1">
      <alignment horizontal="center" vertical="center" wrapText="1"/>
    </xf>
    <xf fontId="68" fillId="0" borderId="46" numFmtId="0" xfId="3726" applyFont="1" applyBorder="1" applyAlignment="1">
      <alignment horizontal="center" vertical="center"/>
    </xf>
    <xf fontId="68" fillId="0" borderId="55" numFmtId="0" xfId="3726" applyFont="1" applyBorder="1" applyAlignment="1">
      <alignment horizontal="center" vertical="center" wrapText="1"/>
    </xf>
    <xf fontId="68" fillId="0" borderId="47" numFmtId="0" xfId="3726" applyFont="1" applyBorder="1" applyAlignment="1">
      <alignment horizontal="center" vertical="center" wrapText="1"/>
    </xf>
    <xf fontId="68" fillId="0" borderId="47" numFmtId="0" xfId="3726" applyFont="1" applyBorder="1" applyAlignment="1">
      <alignment horizontal="center" vertical="center"/>
    </xf>
    <xf fontId="68" fillId="0" borderId="48" numFmtId="0" xfId="3726" applyFont="1" applyBorder="1" applyAlignment="1">
      <alignment horizontal="center" vertical="center" wrapText="1"/>
    </xf>
    <xf fontId="68" fillId="0" borderId="46" numFmtId="0" xfId="3726" applyFont="1" applyBorder="1" applyAlignment="1">
      <alignment horizontal="center" vertical="center" wrapText="1"/>
    </xf>
    <xf fontId="62" fillId="0" borderId="0" numFmtId="0" xfId="3726" applyFont="1"/>
    <xf fontId="62" fillId="0" borderId="60" numFmtId="0" xfId="3726" applyFont="1" applyBorder="1"/>
    <xf fontId="62" fillId="0" borderId="42" numFmtId="0" xfId="3726" applyFont="1" applyBorder="1"/>
    <xf fontId="62" fillId="0" borderId="61" numFmtId="0" xfId="3726" applyFont="1" applyBorder="1"/>
    <xf fontId="62" fillId="0" borderId="43" numFmtId="0" xfId="3726" applyFont="1" applyBorder="1"/>
    <xf fontId="62" fillId="28" borderId="61" numFmtId="0" xfId="3726" applyFont="1" applyFill="1" applyBorder="1"/>
    <xf fontId="62" fillId="0" borderId="40" numFmtId="0" xfId="3726" applyFont="1" applyBorder="1"/>
    <xf fontId="62" fillId="0" borderId="45" numFmtId="0" xfId="3726" applyFont="1" applyBorder="1"/>
    <xf fontId="62" fillId="0" borderId="26" numFmtId="3" xfId="3726" applyNumberFormat="1" applyFont="1" applyBorder="1"/>
    <xf fontId="62" fillId="0" borderId="41" numFmtId="4" xfId="3726" applyNumberFormat="1" applyFont="1" applyBorder="1"/>
    <xf fontId="62" fillId="0" borderId="40" numFmtId="3" xfId="3726" applyNumberFormat="1" applyFont="1" applyBorder="1"/>
    <xf fontId="62" fillId="28" borderId="26" numFmtId="3" xfId="3726" applyNumberFormat="1" applyFont="1" applyFill="1" applyBorder="1"/>
    <xf fontId="62" fillId="0" borderId="0" numFmtId="4" xfId="3726" applyNumberFormat="1" applyFont="1"/>
    <xf fontId="62" fillId="0" borderId="46" numFmtId="0" xfId="3726" applyFont="1" applyBorder="1"/>
    <xf fontId="62" fillId="0" borderId="70" numFmtId="0" xfId="3726" applyFont="1" applyBorder="1"/>
    <xf fontId="62" fillId="0" borderId="47" numFmtId="3" xfId="3726" applyNumberFormat="1" applyFont="1" applyBorder="1"/>
    <xf fontId="62" fillId="0" borderId="48" numFmtId="4" xfId="3726" applyNumberFormat="1" applyFont="1" applyBorder="1"/>
    <xf fontId="62" fillId="0" borderId="46" numFmtId="3" xfId="3726" applyNumberFormat="1" applyFont="1" applyBorder="1"/>
    <xf fontId="62" fillId="28" borderId="47" numFmtId="3" xfId="3726" applyNumberFormat="1" applyFont="1" applyFill="1" applyBorder="1"/>
    <xf fontId="61" fillId="0" borderId="0" numFmtId="0" xfId="0" applyFont="1"/>
    <xf fontId="63" fillId="0" borderId="0" numFmtId="0" xfId="0" applyFont="1"/>
    <xf fontId="77" fillId="0" borderId="0" numFmtId="0" xfId="0" applyFont="1"/>
    <xf fontId="70" fillId="0" borderId="34" numFmtId="0" xfId="0" applyFont="1" applyBorder="1" applyAlignment="1">
      <alignment horizontal="center" vertical="center"/>
    </xf>
    <xf fontId="61" fillId="0" borderId="35" numFmtId="0" xfId="0" applyFont="1" applyBorder="1" applyAlignment="1">
      <alignment horizontal="center" vertical="center"/>
    </xf>
    <xf fontId="61" fillId="0" borderId="44" numFmtId="0" xfId="0" applyFont="1" applyBorder="1" applyAlignment="1">
      <alignment horizontal="center" vertical="center"/>
    </xf>
    <xf fontId="61" fillId="0" borderId="34" numFmtId="0" xfId="0" applyFont="1" applyBorder="1" applyAlignment="1">
      <alignment horizontal="center" vertical="center"/>
    </xf>
    <xf fontId="71" fillId="0" borderId="0" numFmtId="0" xfId="0" applyFont="1"/>
    <xf fontId="70" fillId="0" borderId="46" numFmtId="0" xfId="0" applyFont="1" applyBorder="1" applyAlignment="1">
      <alignment horizontal="center" vertical="center"/>
    </xf>
    <xf fontId="71" fillId="0" borderId="47" numFmtId="0" xfId="0" applyFont="1" applyBorder="1" applyAlignment="1">
      <alignment horizontal="center" vertical="center"/>
    </xf>
    <xf fontId="61" fillId="0" borderId="48" numFmtId="0" xfId="0" applyFont="1" applyBorder="1" applyAlignment="1">
      <alignment horizontal="center" vertical="center"/>
    </xf>
    <xf fontId="71" fillId="0" borderId="46" numFmtId="0" xfId="0" applyFont="1" applyBorder="1" applyAlignment="1">
      <alignment horizontal="center" vertical="center"/>
    </xf>
    <xf fontId="78" fillId="0" borderId="60" numFmtId="0" xfId="3732" applyFont="1" applyBorder="1" applyAlignment="1">
      <alignment vertical="center" wrapText="1"/>
    </xf>
    <xf fontId="71" fillId="0" borderId="61" numFmtId="4" xfId="0" applyNumberFormat="1" applyFont="1" applyBorder="1"/>
    <xf fontId="71" fillId="0" borderId="43" numFmtId="3" xfId="0" applyNumberFormat="1" applyFont="1" applyBorder="1"/>
    <xf fontId="71" fillId="0" borderId="0" numFmtId="3" xfId="0" applyNumberFormat="1" applyFont="1"/>
    <xf fontId="71" fillId="0" borderId="60" numFmtId="4" xfId="0" applyNumberFormat="1" applyFont="1" applyBorder="1"/>
    <xf fontId="78" fillId="0" borderId="40" numFmtId="0" xfId="3732" applyFont="1" applyBorder="1" applyAlignment="1">
      <alignment horizontal="left" vertical="center" wrapText="1"/>
    </xf>
    <xf fontId="71" fillId="0" borderId="26" numFmtId="4" xfId="0" applyNumberFormat="1" applyFont="1" applyBorder="1"/>
    <xf fontId="71" fillId="0" borderId="41" numFmtId="3" xfId="0" applyNumberFormat="1" applyFont="1" applyBorder="1"/>
    <xf fontId="71" fillId="0" borderId="40" numFmtId="4" xfId="0" applyNumberFormat="1" applyFont="1" applyBorder="1"/>
    <xf fontId="70" fillId="0" borderId="0" numFmtId="0" xfId="0" applyFont="1"/>
    <xf fontId="70" fillId="0" borderId="46" numFmtId="0" xfId="0" applyFont="1" applyBorder="1"/>
    <xf fontId="70" fillId="0" borderId="47" numFmtId="3" xfId="0" applyNumberFormat="1" applyFont="1" applyBorder="1"/>
    <xf fontId="70" fillId="0" borderId="48" numFmtId="3" xfId="0" applyNumberFormat="1" applyFont="1" applyBorder="1"/>
    <xf fontId="70" fillId="0" borderId="47" numFmtId="0" xfId="0" applyFont="1" applyBorder="1"/>
    <xf fontId="71" fillId="0" borderId="50" numFmtId="0" xfId="0" applyFont="1" applyBorder="1"/>
    <xf fontId="71" fillId="0" borderId="51" numFmtId="3" xfId="0" applyNumberFormat="1" applyFont="1" applyBorder="1"/>
    <xf fontId="71" fillId="0" borderId="52" numFmtId="3" xfId="0" applyNumberFormat="1" applyFont="1" applyBorder="1"/>
    <xf fontId="70" fillId="0" borderId="49" numFmtId="0" xfId="0" applyFont="1" applyBorder="1" applyAlignment="1">
      <alignment horizontal="center" vertical="center"/>
    </xf>
    <xf fontId="71" fillId="0" borderId="36" numFmtId="3" xfId="0" applyNumberFormat="1" applyFont="1" applyBorder="1"/>
    <xf fontId="71" fillId="0" borderId="37" numFmtId="3" xfId="0" applyNumberFormat="1" applyFont="1" applyBorder="1"/>
    <xf fontId="71" fillId="0" borderId="60" numFmtId="0" xfId="0" applyFont="1" applyBorder="1"/>
    <xf fontId="71" fillId="0" borderId="61" numFmtId="3" xfId="0" applyNumberFormat="1" applyFont="1" applyBorder="1"/>
    <xf fontId="71" fillId="0" borderId="40" numFmtId="0" xfId="0" applyFont="1" applyBorder="1"/>
    <xf fontId="71" fillId="0" borderId="26" numFmtId="3" xfId="0" applyNumberFormat="1" applyFont="1" applyBorder="1"/>
    <xf fontId="79" fillId="0" borderId="0" numFmtId="3" xfId="0" applyNumberFormat="1" applyFont="1"/>
    <xf fontId="79" fillId="0" borderId="0" numFmtId="0" xfId="0" applyFont="1"/>
    <xf fontId="61" fillId="0" borderId="0" numFmtId="3" xfId="0" applyNumberFormat="1" applyFont="1"/>
    <xf fontId="63" fillId="0" borderId="0" numFmtId="3" xfId="0" applyNumberFormat="1" applyFont="1"/>
    <xf fontId="61" fillId="0" borderId="44" numFmtId="3" xfId="0" applyNumberFormat="1" applyFont="1" applyBorder="1" applyAlignment="1">
      <alignment horizontal="center" vertical="center"/>
    </xf>
    <xf fontId="61" fillId="0" borderId="48" numFmtId="3" xfId="0" applyNumberFormat="1" applyFont="1" applyBorder="1" applyAlignment="1">
      <alignment horizontal="center" vertical="center"/>
    </xf>
    <xf fontId="78" fillId="0" borderId="40" numFmtId="0" xfId="3732" applyFont="1" applyBorder="1" applyAlignment="1">
      <alignment vertical="center" wrapText="1"/>
    </xf>
    <xf fontId="78" fillId="0" borderId="57" numFmtId="0" xfId="3732" applyFont="1" applyBorder="1" applyAlignment="1">
      <alignment vertical="center" wrapText="1"/>
    </xf>
    <xf fontId="71" fillId="0" borderId="58" numFmtId="4" xfId="0" applyNumberFormat="1" applyFont="1" applyBorder="1"/>
    <xf fontId="71" fillId="0" borderId="59" numFmtId="3" xfId="0" applyNumberFormat="1" applyFont="1" applyBorder="1"/>
    <xf fontId="71" fillId="0" borderId="57" numFmtId="4" xfId="0" applyNumberFormat="1" applyFont="1" applyBorder="1"/>
    <xf fontId="70" fillId="0" borderId="0" numFmtId="3" xfId="0" applyNumberFormat="1" applyFont="1"/>
    <xf fontId="71" fillId="0" borderId="71" numFmtId="0" xfId="0" applyFont="1" applyBorder="1"/>
    <xf fontId="71" fillId="0" borderId="72" numFmtId="3" xfId="0" applyNumberFormat="1" applyFont="1" applyBorder="1"/>
    <xf fontId="71" fillId="0" borderId="57" numFmtId="0" xfId="0" applyFont="1" applyBorder="1"/>
    <xf fontId="71" fillId="0" borderId="58" numFmtId="3" xfId="0" applyNumberFormat="1" applyFont="1" applyBorder="1"/>
  </cellXfs>
  <cellStyles count="4222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52" xfId="47"/>
    <cellStyle name="20% - Акцент1 53" xfId="48"/>
    <cellStyle name="20% - Акцент1 54" xfId="49"/>
    <cellStyle name="20% - Акцент1 55" xfId="50"/>
    <cellStyle name="20% - Акцент1 56" xfId="51"/>
    <cellStyle name="20% - Акцент1 57" xfId="52"/>
    <cellStyle name="20% - Акцент1 58" xfId="53"/>
    <cellStyle name="20% - Акцент1 59" xfId="54"/>
    <cellStyle name="20% - Акцент1 6" xfId="55"/>
    <cellStyle name="20% - Акцент1 60" xfId="56"/>
    <cellStyle name="20% - Акцент1 61" xfId="57"/>
    <cellStyle name="20% - Акцент1 62" xfId="58"/>
    <cellStyle name="20% - Акцент1 63" xfId="59"/>
    <cellStyle name="20% - Акцент1 7" xfId="60"/>
    <cellStyle name="20% - Акцент1 8" xfId="61"/>
    <cellStyle name="20% - Акцент1 9" xfId="62"/>
    <cellStyle name="20% - Акцент2 10" xfId="63"/>
    <cellStyle name="20% - Акцент2 11" xfId="64"/>
    <cellStyle name="20% - Акцент2 12" xfId="65"/>
    <cellStyle name="20% - Акцент2 13" xfId="66"/>
    <cellStyle name="20% - Акцент2 14" xfId="67"/>
    <cellStyle name="20% - Акцент2 15" xfId="68"/>
    <cellStyle name="20% - Акцент2 16" xfId="69"/>
    <cellStyle name="20% - Акцент2 17" xfId="70"/>
    <cellStyle name="20% - Акцент2 18" xfId="71"/>
    <cellStyle name="20% - Акцент2 19" xfId="72"/>
    <cellStyle name="20% - Акцент2 2" xfId="73"/>
    <cellStyle name="20% - Акцент2 20" xfId="74"/>
    <cellStyle name="20% - Акцент2 21" xfId="75"/>
    <cellStyle name="20% - Акцент2 22" xfId="76"/>
    <cellStyle name="20% - Акцент2 23" xfId="77"/>
    <cellStyle name="20% - Акцент2 24" xfId="78"/>
    <cellStyle name="20% - Акцент2 25" xfId="79"/>
    <cellStyle name="20% - Акцент2 26" xfId="80"/>
    <cellStyle name="20% - Акцент2 27" xfId="81"/>
    <cellStyle name="20% - Акцент2 28" xfId="82"/>
    <cellStyle name="20% - Акцент2 29" xfId="83"/>
    <cellStyle name="20% - Акцент2 3" xfId="84"/>
    <cellStyle name="20% - Акцент2 30" xfId="85"/>
    <cellStyle name="20% - Акцент2 31" xfId="86"/>
    <cellStyle name="20% - Акцент2 32" xfId="87"/>
    <cellStyle name="20% - Акцент2 33" xfId="88"/>
    <cellStyle name="20% - Акцент2 34" xfId="89"/>
    <cellStyle name="20% - Акцент2 35" xfId="90"/>
    <cellStyle name="20% - Акцент2 36" xfId="91"/>
    <cellStyle name="20% - Акцент2 37" xfId="92"/>
    <cellStyle name="20% - Акцент2 38" xfId="93"/>
    <cellStyle name="20% - Акцент2 39" xfId="94"/>
    <cellStyle name="20% - Акцент2 4" xfId="95"/>
    <cellStyle name="20% - Акцент2 40" xfId="96"/>
    <cellStyle name="20% - Акцент2 41" xfId="97"/>
    <cellStyle name="20% - Акцент2 42" xfId="98"/>
    <cellStyle name="20% - Акцент2 43" xfId="99"/>
    <cellStyle name="20% - Акцент2 44" xfId="100"/>
    <cellStyle name="20% - Акцент2 45" xfId="101"/>
    <cellStyle name="20% - Акцент2 46" xfId="102"/>
    <cellStyle name="20% - Акцент2 47" xfId="103"/>
    <cellStyle name="20% - Акцент2 48" xfId="104"/>
    <cellStyle name="20% - Акцент2 49" xfId="105"/>
    <cellStyle name="20% - Акцент2 5" xfId="106"/>
    <cellStyle name="20% - Акцент2 50" xfId="107"/>
    <cellStyle name="20% - Акцент2 51" xfId="108"/>
    <cellStyle name="20% - Акцент2 52" xfId="109"/>
    <cellStyle name="20% - Акцент2 53" xfId="110"/>
    <cellStyle name="20% - Акцент2 54" xfId="111"/>
    <cellStyle name="20% - Акцент2 55" xfId="112"/>
    <cellStyle name="20% - Акцент2 56" xfId="113"/>
    <cellStyle name="20% - Акцент2 57" xfId="114"/>
    <cellStyle name="20% - Акцент2 58" xfId="115"/>
    <cellStyle name="20% - Акцент2 59" xfId="116"/>
    <cellStyle name="20% - Акцент2 6" xfId="117"/>
    <cellStyle name="20% - Акцент2 60" xfId="118"/>
    <cellStyle name="20% - Акцент2 61" xfId="119"/>
    <cellStyle name="20% - Акцент2 62" xfId="120"/>
    <cellStyle name="20% - Акцент2 63" xfId="121"/>
    <cellStyle name="20% - Акцент2 7" xfId="122"/>
    <cellStyle name="20% - Акцент2 8" xfId="123"/>
    <cellStyle name="20% - Акцент2 9" xfId="124"/>
    <cellStyle name="20% - Акцент3 10" xfId="125"/>
    <cellStyle name="20% - Акцент3 11" xfId="126"/>
    <cellStyle name="20% - Акцент3 12" xfId="127"/>
    <cellStyle name="20% - Акцент3 13" xfId="128"/>
    <cellStyle name="20% - Акцент3 14" xfId="129"/>
    <cellStyle name="20% - Акцент3 15" xfId="130"/>
    <cellStyle name="20% - Акцент3 16" xfId="131"/>
    <cellStyle name="20% - Акцент3 17" xfId="132"/>
    <cellStyle name="20% - Акцент3 18" xfId="133"/>
    <cellStyle name="20% - Акцент3 19" xfId="134"/>
    <cellStyle name="20% - Акцент3 2" xfId="135"/>
    <cellStyle name="20% - Акцент3 20" xfId="136"/>
    <cellStyle name="20% - Акцент3 21" xfId="137"/>
    <cellStyle name="20% - Акцент3 22" xfId="138"/>
    <cellStyle name="20% - Акцент3 23" xfId="139"/>
    <cellStyle name="20% - Акцент3 24" xfId="140"/>
    <cellStyle name="20% - Акцент3 25" xfId="141"/>
    <cellStyle name="20% - Акцент3 26" xfId="142"/>
    <cellStyle name="20% - Акцент3 27" xfId="143"/>
    <cellStyle name="20% - Акцент3 28" xfId="144"/>
    <cellStyle name="20% - Акцент3 29" xfId="145"/>
    <cellStyle name="20% - Акцент3 3" xfId="146"/>
    <cellStyle name="20% - Акцент3 30" xfId="147"/>
    <cellStyle name="20% - Акцент3 31" xfId="148"/>
    <cellStyle name="20% - Акцент3 32" xfId="149"/>
    <cellStyle name="20% - Акцент3 33" xfId="150"/>
    <cellStyle name="20% - Акцент3 34" xfId="151"/>
    <cellStyle name="20% - Акцент3 35" xfId="152"/>
    <cellStyle name="20% - Акцент3 36" xfId="153"/>
    <cellStyle name="20% - Акцент3 37" xfId="154"/>
    <cellStyle name="20% - Акцент3 38" xfId="155"/>
    <cellStyle name="20% - Акцент3 39" xfId="156"/>
    <cellStyle name="20% - Акцент3 4" xfId="157"/>
    <cellStyle name="20% - Акцент3 40" xfId="158"/>
    <cellStyle name="20% - Акцент3 41" xfId="159"/>
    <cellStyle name="20% - Акцент3 42" xfId="160"/>
    <cellStyle name="20% - Акцент3 43" xfId="161"/>
    <cellStyle name="20% - Акцент3 44" xfId="162"/>
    <cellStyle name="20% - Акцент3 45" xfId="163"/>
    <cellStyle name="20% - Акцент3 46" xfId="164"/>
    <cellStyle name="20% - Акцент3 47" xfId="165"/>
    <cellStyle name="20% - Акцент3 48" xfId="166"/>
    <cellStyle name="20% - Акцент3 49" xfId="167"/>
    <cellStyle name="20% - Акцент3 5" xfId="168"/>
    <cellStyle name="20% - Акцент3 50" xfId="169"/>
    <cellStyle name="20% - Акцент3 51" xfId="170"/>
    <cellStyle name="20% - Акцент3 52" xfId="171"/>
    <cellStyle name="20% - Акцент3 53" xfId="172"/>
    <cellStyle name="20% - Акцент3 54" xfId="173"/>
    <cellStyle name="20% - Акцент3 55" xfId="174"/>
    <cellStyle name="20% - Акцент3 56" xfId="175"/>
    <cellStyle name="20% - Акцент3 57" xfId="176"/>
    <cellStyle name="20% - Акцент3 58" xfId="177"/>
    <cellStyle name="20% - Акцент3 59" xfId="178"/>
    <cellStyle name="20% - Акцент3 6" xfId="179"/>
    <cellStyle name="20% - Акцент3 60" xfId="180"/>
    <cellStyle name="20% - Акцент3 61" xfId="181"/>
    <cellStyle name="20% - Акцент3 62" xfId="182"/>
    <cellStyle name="20% - Акцент3 63" xfId="183"/>
    <cellStyle name="20% - Акцент3 7" xfId="184"/>
    <cellStyle name="20% - Акцент3 8" xfId="185"/>
    <cellStyle name="20% - Акцент3 9" xfId="186"/>
    <cellStyle name="20% - Акцент4 10" xfId="187"/>
    <cellStyle name="20% - Акцент4 11" xfId="188"/>
    <cellStyle name="20% - Акцент4 12" xfId="189"/>
    <cellStyle name="20% - Акцент4 13" xfId="190"/>
    <cellStyle name="20% - Акцент4 14" xfId="191"/>
    <cellStyle name="20% - Акцент4 15" xfId="192"/>
    <cellStyle name="20% - Акцент4 16" xfId="193"/>
    <cellStyle name="20% - Акцент4 17" xfId="194"/>
    <cellStyle name="20% - Акцент4 18" xfId="195"/>
    <cellStyle name="20% - Акцент4 19" xfId="196"/>
    <cellStyle name="20% - Акцент4 2" xfId="197"/>
    <cellStyle name="20% - Акцент4 20" xfId="198"/>
    <cellStyle name="20% - Акцент4 21" xfId="199"/>
    <cellStyle name="20% - Акцент4 22" xfId="200"/>
    <cellStyle name="20% - Акцент4 23" xfId="201"/>
    <cellStyle name="20% - Акцент4 24" xfId="202"/>
    <cellStyle name="20% - Акцент4 25" xfId="203"/>
    <cellStyle name="20% - Акцент4 26" xfId="204"/>
    <cellStyle name="20% - Акцент4 27" xfId="205"/>
    <cellStyle name="20% - Акцент4 28" xfId="206"/>
    <cellStyle name="20% - Акцент4 29" xfId="207"/>
    <cellStyle name="20% - Акцент4 3" xfId="208"/>
    <cellStyle name="20% - Акцент4 30" xfId="209"/>
    <cellStyle name="20% - Акцент4 31" xfId="210"/>
    <cellStyle name="20% - Акцент4 32" xfId="211"/>
    <cellStyle name="20% - Акцент4 33" xfId="212"/>
    <cellStyle name="20% - Акцент4 34" xfId="213"/>
    <cellStyle name="20% - Акцент4 35" xfId="214"/>
    <cellStyle name="20% - Акцент4 36" xfId="215"/>
    <cellStyle name="20% - Акцент4 37" xfId="216"/>
    <cellStyle name="20% - Акцент4 38" xfId="217"/>
    <cellStyle name="20% - Акцент4 39" xfId="218"/>
    <cellStyle name="20% - Акцент4 4" xfId="219"/>
    <cellStyle name="20% - Акцент4 40" xfId="220"/>
    <cellStyle name="20% - Акцент4 41" xfId="221"/>
    <cellStyle name="20% - Акцент4 42" xfId="222"/>
    <cellStyle name="20% - Акцент4 43" xfId="223"/>
    <cellStyle name="20% - Акцент4 44" xfId="224"/>
    <cellStyle name="20% - Акцент4 45" xfId="225"/>
    <cellStyle name="20% - Акцент4 46" xfId="226"/>
    <cellStyle name="20% - Акцент4 47" xfId="227"/>
    <cellStyle name="20% - Акцент4 48" xfId="228"/>
    <cellStyle name="20% - Акцент4 49" xfId="229"/>
    <cellStyle name="20% - Акцент4 5" xfId="230"/>
    <cellStyle name="20% - Акцент4 50" xfId="231"/>
    <cellStyle name="20% - Акцент4 51" xfId="232"/>
    <cellStyle name="20% - Акцент4 52" xfId="233"/>
    <cellStyle name="20% - Акцент4 53" xfId="234"/>
    <cellStyle name="20% - Акцент4 54" xfId="235"/>
    <cellStyle name="20% - Акцент4 55" xfId="236"/>
    <cellStyle name="20% - Акцент4 56" xfId="237"/>
    <cellStyle name="20% - Акцент4 57" xfId="238"/>
    <cellStyle name="20% - Акцент4 58" xfId="239"/>
    <cellStyle name="20% - Акцент4 59" xfId="240"/>
    <cellStyle name="20% - Акцент4 6" xfId="241"/>
    <cellStyle name="20% - Акцент4 60" xfId="242"/>
    <cellStyle name="20% - Акцент4 61" xfId="243"/>
    <cellStyle name="20% - Акцент4 62" xfId="244"/>
    <cellStyle name="20% - Акцент4 63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15" xfId="254"/>
    <cellStyle name="20% - Акцент5 16" xfId="255"/>
    <cellStyle name="20% - Акцент5 17" xfId="256"/>
    <cellStyle name="20% - Акцент5 18" xfId="257"/>
    <cellStyle name="20% - Акцент5 19" xfId="258"/>
    <cellStyle name="20% - Акцент5 2" xfId="259"/>
    <cellStyle name="20% - Акцент5 20" xfId="260"/>
    <cellStyle name="20% - Акцент5 21" xfId="261"/>
    <cellStyle name="20% - Акцент5 22" xfId="262"/>
    <cellStyle name="20% - Акцент5 23" xfId="263"/>
    <cellStyle name="20% - Акцент5 24" xfId="264"/>
    <cellStyle name="20% - Акцент5 25" xfId="265"/>
    <cellStyle name="20% - Акцент5 26" xfId="266"/>
    <cellStyle name="20% - Акцент5 27" xfId="267"/>
    <cellStyle name="20% - Акцент5 28" xfId="268"/>
    <cellStyle name="20% - Акцент5 29" xfId="269"/>
    <cellStyle name="20% - Акцент5 3" xfId="270"/>
    <cellStyle name="20% - Акцент5 30" xfId="271"/>
    <cellStyle name="20% - Акцент5 31" xfId="272"/>
    <cellStyle name="20% - Акцент5 32" xfId="273"/>
    <cellStyle name="20% - Акцент5 33" xfId="274"/>
    <cellStyle name="20% - Акцент5 34" xfId="275"/>
    <cellStyle name="20% - Акцент5 35" xfId="276"/>
    <cellStyle name="20% - Акцент5 36" xfId="277"/>
    <cellStyle name="20% - Акцент5 37" xfId="278"/>
    <cellStyle name="20% - Акцент5 38" xfId="279"/>
    <cellStyle name="20% - Акцент5 39" xfId="280"/>
    <cellStyle name="20% - Акцент5 4" xfId="281"/>
    <cellStyle name="20% - Акцент5 40" xfId="282"/>
    <cellStyle name="20% - Акцент5 41" xfId="283"/>
    <cellStyle name="20% - Акцент5 42" xfId="284"/>
    <cellStyle name="20% - Акцент5 43" xfId="285"/>
    <cellStyle name="20% - Акцент5 44" xfId="286"/>
    <cellStyle name="20% - Акцент5 45" xfId="287"/>
    <cellStyle name="20% - Акцент5 46" xfId="288"/>
    <cellStyle name="20% - Акцент5 47" xfId="289"/>
    <cellStyle name="20% - Акцент5 48" xfId="290"/>
    <cellStyle name="20% - Акцент5 49" xfId="291"/>
    <cellStyle name="20% - Акцент5 5" xfId="292"/>
    <cellStyle name="20% - Акцент5 50" xfId="293"/>
    <cellStyle name="20% - Акцент5 51" xfId="294"/>
    <cellStyle name="20% - Акцент5 52" xfId="295"/>
    <cellStyle name="20% - Акцент5 53" xfId="296"/>
    <cellStyle name="20% - Акцент5 54" xfId="297"/>
    <cellStyle name="20% - Акцент5 55" xfId="298"/>
    <cellStyle name="20% - Акцент5 56" xfId="299"/>
    <cellStyle name="20% - Акцент5 57" xfId="300"/>
    <cellStyle name="20% - Акцент5 58" xfId="301"/>
    <cellStyle name="20% - Акцент5 59" xfId="302"/>
    <cellStyle name="20% - Акцент5 6" xfId="303"/>
    <cellStyle name="20% - Акцент5 60" xfId="304"/>
    <cellStyle name="20% - Акцент5 61" xfId="305"/>
    <cellStyle name="20% - Акцент5 62" xfId="306"/>
    <cellStyle name="20% - Акцент5 63" xfId="307"/>
    <cellStyle name="20% - Акцент5 7" xfId="308"/>
    <cellStyle name="20% - Акцент5 8" xfId="309"/>
    <cellStyle name="20% - Акцент5 9" xfId="310"/>
    <cellStyle name="20% - Акцент6 10" xfId="311"/>
    <cellStyle name="20% - Акцент6 11" xfId="312"/>
    <cellStyle name="20% - Акцент6 12" xfId="313"/>
    <cellStyle name="20% - Акцент6 13" xfId="314"/>
    <cellStyle name="20% - Акцент6 14" xfId="315"/>
    <cellStyle name="20% - Акцент6 15" xfId="316"/>
    <cellStyle name="20% - Акцент6 16" xfId="317"/>
    <cellStyle name="20% - Акцент6 17" xfId="318"/>
    <cellStyle name="20% - Акцент6 18" xfId="319"/>
    <cellStyle name="20% - Акцент6 19" xfId="320"/>
    <cellStyle name="20% - Акцент6 2" xfId="321"/>
    <cellStyle name="20% - Акцент6 20" xfId="322"/>
    <cellStyle name="20% - Акцент6 21" xfId="323"/>
    <cellStyle name="20% - Акцент6 22" xfId="324"/>
    <cellStyle name="20% - Акцент6 23" xfId="325"/>
    <cellStyle name="20% - Акцент6 24" xfId="326"/>
    <cellStyle name="20% - Акцент6 25" xfId="327"/>
    <cellStyle name="20% - Акцент6 26" xfId="328"/>
    <cellStyle name="20% - Акцент6 27" xfId="329"/>
    <cellStyle name="20% - Акцент6 28" xfId="330"/>
    <cellStyle name="20% - Акцент6 29" xfId="331"/>
    <cellStyle name="20% - Акцент6 3" xfId="332"/>
    <cellStyle name="20% - Акцент6 30" xfId="333"/>
    <cellStyle name="20% - Акцент6 31" xfId="334"/>
    <cellStyle name="20% - Акцент6 32" xfId="335"/>
    <cellStyle name="20% - Акцент6 33" xfId="336"/>
    <cellStyle name="20% - Акцент6 34" xfId="337"/>
    <cellStyle name="20% - Акцент6 35" xfId="338"/>
    <cellStyle name="20% - Акцент6 36" xfId="339"/>
    <cellStyle name="20% - Акцент6 37" xfId="340"/>
    <cellStyle name="20% - Акцент6 38" xfId="341"/>
    <cellStyle name="20% - Акцент6 39" xfId="342"/>
    <cellStyle name="20% - Акцент6 4" xfId="343"/>
    <cellStyle name="20% - Акцент6 40" xfId="344"/>
    <cellStyle name="20% - Акцент6 41" xfId="345"/>
    <cellStyle name="20% - Акцент6 42" xfId="346"/>
    <cellStyle name="20% - Акцент6 43" xfId="347"/>
    <cellStyle name="20% - Акцент6 44" xfId="348"/>
    <cellStyle name="20% - Акцент6 45" xfId="349"/>
    <cellStyle name="20% - Акцент6 46" xfId="350"/>
    <cellStyle name="20% - Акцент6 47" xfId="351"/>
    <cellStyle name="20% - Акцент6 48" xfId="352"/>
    <cellStyle name="20% - Акцент6 49" xfId="353"/>
    <cellStyle name="20% - Акцент6 5" xfId="354"/>
    <cellStyle name="20% - Акцент6 50" xfId="355"/>
    <cellStyle name="20% - Акцент6 51" xfId="356"/>
    <cellStyle name="20% - Акцент6 52" xfId="357"/>
    <cellStyle name="20% - Акцент6 53" xfId="358"/>
    <cellStyle name="20% - Акцент6 54" xfId="359"/>
    <cellStyle name="20% - Акцент6 55" xfId="360"/>
    <cellStyle name="20% - Акцент6 56" xfId="361"/>
    <cellStyle name="20% - Акцент6 57" xfId="362"/>
    <cellStyle name="20% - Акцент6 58" xfId="363"/>
    <cellStyle name="20% - Акцент6 59" xfId="364"/>
    <cellStyle name="20% - Акцент6 6" xfId="365"/>
    <cellStyle name="20% - Акцент6 60" xfId="366"/>
    <cellStyle name="20% - Акцент6 61" xfId="367"/>
    <cellStyle name="20% - Акцент6 62" xfId="368"/>
    <cellStyle name="20% - Акцент6 63" xfId="369"/>
    <cellStyle name="20% - Акцент6 7" xfId="370"/>
    <cellStyle name="20% - Акцент6 8" xfId="371"/>
    <cellStyle name="20% - Акцент6 9" xfId="372"/>
    <cellStyle name="40% - Акцент1 10" xfId="373"/>
    <cellStyle name="40% - Акцент1 11" xfId="374"/>
    <cellStyle name="40% - Акцент1 12" xfId="375"/>
    <cellStyle name="40% - Акцент1 13" xfId="376"/>
    <cellStyle name="40% - Акцент1 14" xfId="377"/>
    <cellStyle name="40% - Акцент1 15" xfId="378"/>
    <cellStyle name="40% - Акцент1 16" xfId="379"/>
    <cellStyle name="40% - Акцент1 17" xfId="380"/>
    <cellStyle name="40% - Акцент1 18" xfId="381"/>
    <cellStyle name="40% - Акцент1 19" xfId="382"/>
    <cellStyle name="40% - Акцент1 2" xfId="383"/>
    <cellStyle name="40% - Акцент1 20" xfId="384"/>
    <cellStyle name="40% - Акцент1 21" xfId="385"/>
    <cellStyle name="40% - Акцент1 22" xfId="386"/>
    <cellStyle name="40% - Акцент1 23" xfId="387"/>
    <cellStyle name="40% - Акцент1 24" xfId="388"/>
    <cellStyle name="40% - Акцент1 25" xfId="389"/>
    <cellStyle name="40% - Акцент1 26" xfId="390"/>
    <cellStyle name="40% - Акцент1 27" xfId="391"/>
    <cellStyle name="40% - Акцент1 28" xfId="392"/>
    <cellStyle name="40% - Акцент1 29" xfId="393"/>
    <cellStyle name="40% - Акцент1 3" xfId="394"/>
    <cellStyle name="40% - Акцент1 30" xfId="395"/>
    <cellStyle name="40% - Акцент1 31" xfId="396"/>
    <cellStyle name="40% - Акцент1 32" xfId="397"/>
    <cellStyle name="40% - Акцент1 33" xfId="398"/>
    <cellStyle name="40% - Акцент1 34" xfId="399"/>
    <cellStyle name="40% - Акцент1 35" xfId="400"/>
    <cellStyle name="40% - Акцент1 36" xfId="401"/>
    <cellStyle name="40% - Акцент1 37" xfId="402"/>
    <cellStyle name="40% - Акцент1 38" xfId="403"/>
    <cellStyle name="40% - Акцент1 39" xfId="404"/>
    <cellStyle name="40% - Акцент1 4" xfId="405"/>
    <cellStyle name="40% - Акцент1 40" xfId="406"/>
    <cellStyle name="40% - Акцент1 41" xfId="407"/>
    <cellStyle name="40% - Акцент1 42" xfId="408"/>
    <cellStyle name="40% - Акцент1 43" xfId="409"/>
    <cellStyle name="40% - Акцент1 44" xfId="410"/>
    <cellStyle name="40% - Акцент1 45" xfId="411"/>
    <cellStyle name="40% - Акцент1 46" xfId="412"/>
    <cellStyle name="40% - Акцент1 47" xfId="413"/>
    <cellStyle name="40% - Акцент1 48" xfId="414"/>
    <cellStyle name="40% - Акцент1 49" xfId="415"/>
    <cellStyle name="40% - Акцент1 5" xfId="416"/>
    <cellStyle name="40% - Акцент1 50" xfId="417"/>
    <cellStyle name="40% - Акцент1 51" xfId="418"/>
    <cellStyle name="40% - Акцент1 52" xfId="419"/>
    <cellStyle name="40% - Акцент1 53" xfId="420"/>
    <cellStyle name="40% - Акцент1 54" xfId="421"/>
    <cellStyle name="40% - Акцент1 55" xfId="422"/>
    <cellStyle name="40% - Акцент1 56" xfId="423"/>
    <cellStyle name="40% - Акцент1 57" xfId="424"/>
    <cellStyle name="40% - Акцент1 58" xfId="425"/>
    <cellStyle name="40% - Акцент1 59" xfId="426"/>
    <cellStyle name="40% - Акцент1 6" xfId="427"/>
    <cellStyle name="40% - Акцент1 60" xfId="428"/>
    <cellStyle name="40% - Акцент1 61" xfId="429"/>
    <cellStyle name="40% - Акцент1 62" xfId="430"/>
    <cellStyle name="40% - Акцент1 63" xfId="431"/>
    <cellStyle name="40% - Акцент1 7" xfId="432"/>
    <cellStyle name="40% - Акцент1 8" xfId="433"/>
    <cellStyle name="40% - Акцент1 9" xfId="434"/>
    <cellStyle name="40% - Акцент2 10" xfId="435"/>
    <cellStyle name="40% - Акцент2 11" xfId="436"/>
    <cellStyle name="40% - Акцент2 12" xfId="437"/>
    <cellStyle name="40% - Акцент2 13" xfId="438"/>
    <cellStyle name="40% - Акцент2 14" xfId="439"/>
    <cellStyle name="40% - Акцент2 15" xfId="440"/>
    <cellStyle name="40% - Акцент2 16" xfId="441"/>
    <cellStyle name="40% - Акцент2 17" xfId="442"/>
    <cellStyle name="40% - Акцент2 18" xfId="443"/>
    <cellStyle name="40% - Акцент2 19" xfId="444"/>
    <cellStyle name="40% - Акцент2 2" xfId="445"/>
    <cellStyle name="40% - Акцент2 20" xfId="446"/>
    <cellStyle name="40% - Акцент2 21" xfId="447"/>
    <cellStyle name="40% - Акцент2 22" xfId="448"/>
    <cellStyle name="40% - Акцент2 23" xfId="449"/>
    <cellStyle name="40% - Акцент2 24" xfId="450"/>
    <cellStyle name="40% - Акцент2 25" xfId="451"/>
    <cellStyle name="40% - Акцент2 26" xfId="452"/>
    <cellStyle name="40% - Акцент2 27" xfId="453"/>
    <cellStyle name="40% - Акцент2 28" xfId="454"/>
    <cellStyle name="40% - Акцент2 29" xfId="455"/>
    <cellStyle name="40% - Акцент2 3" xfId="456"/>
    <cellStyle name="40% - Акцент2 30" xfId="457"/>
    <cellStyle name="40% - Акцент2 31" xfId="458"/>
    <cellStyle name="40% - Акцент2 32" xfId="459"/>
    <cellStyle name="40% - Акцент2 33" xfId="460"/>
    <cellStyle name="40% - Акцент2 34" xfId="461"/>
    <cellStyle name="40% - Акцент2 35" xfId="462"/>
    <cellStyle name="40% - Акцент2 36" xfId="463"/>
    <cellStyle name="40% - Акцент2 37" xfId="464"/>
    <cellStyle name="40% - Акцент2 38" xfId="465"/>
    <cellStyle name="40% - Акцент2 39" xfId="466"/>
    <cellStyle name="40% - Акцент2 4" xfId="467"/>
    <cellStyle name="40% - Акцент2 40" xfId="468"/>
    <cellStyle name="40% - Акцент2 41" xfId="469"/>
    <cellStyle name="40% - Акцент2 42" xfId="470"/>
    <cellStyle name="40% - Акцент2 43" xfId="471"/>
    <cellStyle name="40% - Акцент2 44" xfId="472"/>
    <cellStyle name="40% - Акцент2 45" xfId="473"/>
    <cellStyle name="40% - Акцент2 46" xfId="474"/>
    <cellStyle name="40% - Акцент2 47" xfId="475"/>
    <cellStyle name="40% - Акцент2 48" xfId="476"/>
    <cellStyle name="40% - Акцент2 49" xfId="477"/>
    <cellStyle name="40% - Акцент2 5" xfId="478"/>
    <cellStyle name="40% - Акцент2 50" xfId="479"/>
    <cellStyle name="40% - Акцент2 51" xfId="480"/>
    <cellStyle name="40% - Акцент2 52" xfId="481"/>
    <cellStyle name="40% - Акцент2 53" xfId="482"/>
    <cellStyle name="40% - Акцент2 54" xfId="483"/>
    <cellStyle name="40% - Акцент2 55" xfId="484"/>
    <cellStyle name="40% - Акцент2 56" xfId="485"/>
    <cellStyle name="40% - Акцент2 57" xfId="486"/>
    <cellStyle name="40% - Акцент2 58" xfId="487"/>
    <cellStyle name="40% - Акцент2 59" xfId="488"/>
    <cellStyle name="40% - Акцент2 6" xfId="489"/>
    <cellStyle name="40% - Акцент2 60" xfId="490"/>
    <cellStyle name="40% - Акцент2 61" xfId="491"/>
    <cellStyle name="40% - Акцент2 62" xfId="492"/>
    <cellStyle name="40% - Акцент2 63" xfId="493"/>
    <cellStyle name="40% - Акцент2 7" xfId="494"/>
    <cellStyle name="40% - Акцент2 8" xfId="495"/>
    <cellStyle name="40% - Акцент2 9" xfId="496"/>
    <cellStyle name="40% - Акцент3 10" xfId="497"/>
    <cellStyle name="40% - Акцент3 11" xfId="498"/>
    <cellStyle name="40% - Акцент3 12" xfId="499"/>
    <cellStyle name="40% - Акцент3 13" xfId="500"/>
    <cellStyle name="40% - Акцент3 14" xfId="501"/>
    <cellStyle name="40% - Акцент3 15" xfId="502"/>
    <cellStyle name="40% - Акцент3 16" xfId="503"/>
    <cellStyle name="40% - Акцент3 17" xfId="504"/>
    <cellStyle name="40% - Акцент3 18" xfId="505"/>
    <cellStyle name="40% - Акцент3 19" xfId="506"/>
    <cellStyle name="40% - Акцент3 2" xfId="507"/>
    <cellStyle name="40% - Акцент3 20" xfId="508"/>
    <cellStyle name="40% - Акцент3 21" xfId="509"/>
    <cellStyle name="40% - Акцент3 22" xfId="510"/>
    <cellStyle name="40% - Акцент3 23" xfId="511"/>
    <cellStyle name="40% - Акцент3 24" xfId="512"/>
    <cellStyle name="40% - Акцент3 25" xfId="513"/>
    <cellStyle name="40% - Акцент3 26" xfId="514"/>
    <cellStyle name="40% - Акцент3 27" xfId="515"/>
    <cellStyle name="40% - Акцент3 28" xfId="516"/>
    <cellStyle name="40% - Акцент3 29" xfId="517"/>
    <cellStyle name="40% - Акцент3 3" xfId="518"/>
    <cellStyle name="40% - Акцент3 30" xfId="519"/>
    <cellStyle name="40% - Акцент3 31" xfId="520"/>
    <cellStyle name="40% - Акцент3 32" xfId="521"/>
    <cellStyle name="40% - Акцент3 33" xfId="522"/>
    <cellStyle name="40% - Акцент3 34" xfId="523"/>
    <cellStyle name="40% - Акцент3 35" xfId="524"/>
    <cellStyle name="40% - Акцент3 36" xfId="525"/>
    <cellStyle name="40% - Акцент3 37" xfId="526"/>
    <cellStyle name="40% - Акцент3 38" xfId="527"/>
    <cellStyle name="40% - Акцент3 39" xfId="528"/>
    <cellStyle name="40% - Акцент3 4" xfId="529"/>
    <cellStyle name="40% - Акцент3 40" xfId="530"/>
    <cellStyle name="40% - Акцент3 41" xfId="531"/>
    <cellStyle name="40% - Акцент3 42" xfId="532"/>
    <cellStyle name="40% - Акцент3 43" xfId="533"/>
    <cellStyle name="40% - Акцент3 44" xfId="534"/>
    <cellStyle name="40% - Акцент3 45" xfId="535"/>
    <cellStyle name="40% - Акцент3 46" xfId="536"/>
    <cellStyle name="40% - Акцент3 47" xfId="537"/>
    <cellStyle name="40% - Акцент3 48" xfId="538"/>
    <cellStyle name="40% - Акцент3 49" xfId="539"/>
    <cellStyle name="40% - Акцент3 5" xfId="540"/>
    <cellStyle name="40% - Акцент3 50" xfId="541"/>
    <cellStyle name="40% - Акцент3 51" xfId="542"/>
    <cellStyle name="40% - Акцент3 52" xfId="543"/>
    <cellStyle name="40% - Акцент3 53" xfId="544"/>
    <cellStyle name="40% - Акцент3 54" xfId="545"/>
    <cellStyle name="40% - Акцент3 55" xfId="546"/>
    <cellStyle name="40% - Акцент3 56" xfId="547"/>
    <cellStyle name="40% - Акцент3 57" xfId="548"/>
    <cellStyle name="40% - Акцент3 58" xfId="549"/>
    <cellStyle name="40% - Акцент3 59" xfId="550"/>
    <cellStyle name="40% - Акцент3 6" xfId="551"/>
    <cellStyle name="40% - Акцент3 60" xfId="552"/>
    <cellStyle name="40% - Акцент3 61" xfId="553"/>
    <cellStyle name="40% - Акцент3 62" xfId="554"/>
    <cellStyle name="40% - Акцент3 63" xfId="555"/>
    <cellStyle name="40% - Акцент3 7" xfId="556"/>
    <cellStyle name="40% - Акцент3 8" xfId="557"/>
    <cellStyle name="40% - Акцент3 9" xfId="558"/>
    <cellStyle name="40% - Акцент4 10" xfId="559"/>
    <cellStyle name="40% - Акцент4 11" xfId="560"/>
    <cellStyle name="40% - Акцент4 12" xfId="561"/>
    <cellStyle name="40% - Акцент4 13" xfId="562"/>
    <cellStyle name="40% - Акцент4 14" xfId="563"/>
    <cellStyle name="40% - Акцент4 15" xfId="564"/>
    <cellStyle name="40% - Акцент4 16" xfId="565"/>
    <cellStyle name="40% - Акцент4 17" xfId="566"/>
    <cellStyle name="40% - Акцент4 18" xfId="567"/>
    <cellStyle name="40% - Акцент4 19" xfId="568"/>
    <cellStyle name="40% - Акцент4 2" xfId="569"/>
    <cellStyle name="40% - Акцент4 20" xfId="570"/>
    <cellStyle name="40% - Акцент4 21" xfId="571"/>
    <cellStyle name="40% - Акцент4 22" xfId="572"/>
    <cellStyle name="40% - Акцент4 23" xfId="573"/>
    <cellStyle name="40% - Акцент4 24" xfId="574"/>
    <cellStyle name="40% - Акцент4 25" xfId="575"/>
    <cellStyle name="40% - Акцент4 26" xfId="576"/>
    <cellStyle name="40% - Акцент4 27" xfId="577"/>
    <cellStyle name="40% - Акцент4 28" xfId="578"/>
    <cellStyle name="40% - Акцент4 29" xfId="579"/>
    <cellStyle name="40% - Акцент4 3" xfId="580"/>
    <cellStyle name="40% - Акцент4 30" xfId="581"/>
    <cellStyle name="40% - Акцент4 31" xfId="582"/>
    <cellStyle name="40% - Акцент4 32" xfId="583"/>
    <cellStyle name="40% - Акцент4 33" xfId="584"/>
    <cellStyle name="40% - Акцент4 34" xfId="585"/>
    <cellStyle name="40% - Акцент4 35" xfId="586"/>
    <cellStyle name="40% - Акцент4 36" xfId="587"/>
    <cellStyle name="40% - Акцент4 37" xfId="588"/>
    <cellStyle name="40% - Акцент4 38" xfId="589"/>
    <cellStyle name="40% - Акцент4 39" xfId="590"/>
    <cellStyle name="40% - Акцент4 4" xfId="591"/>
    <cellStyle name="40% - Акцент4 40" xfId="592"/>
    <cellStyle name="40% - Акцент4 41" xfId="593"/>
    <cellStyle name="40% - Акцент4 42" xfId="594"/>
    <cellStyle name="40% - Акцент4 43" xfId="595"/>
    <cellStyle name="40% - Акцент4 44" xfId="596"/>
    <cellStyle name="40% - Акцент4 45" xfId="597"/>
    <cellStyle name="40% - Акцент4 46" xfId="598"/>
    <cellStyle name="40% - Акцент4 47" xfId="599"/>
    <cellStyle name="40% - Акцент4 48" xfId="600"/>
    <cellStyle name="40% - Акцент4 49" xfId="601"/>
    <cellStyle name="40% - Акцент4 5" xfId="602"/>
    <cellStyle name="40% - Акцент4 50" xfId="603"/>
    <cellStyle name="40% - Акцент4 51" xfId="604"/>
    <cellStyle name="40% - Акцент4 52" xfId="605"/>
    <cellStyle name="40% - Акцент4 53" xfId="606"/>
    <cellStyle name="40% - Акцент4 54" xfId="607"/>
    <cellStyle name="40% - Акцент4 55" xfId="608"/>
    <cellStyle name="40% - Акцент4 56" xfId="609"/>
    <cellStyle name="40% - Акцент4 57" xfId="610"/>
    <cellStyle name="40% - Акцент4 58" xfId="611"/>
    <cellStyle name="40% - Акцент4 59" xfId="612"/>
    <cellStyle name="40% - Акцент4 6" xfId="613"/>
    <cellStyle name="40% - Акцент4 60" xfId="614"/>
    <cellStyle name="40% - Акцент4 61" xfId="615"/>
    <cellStyle name="40% - Акцент4 62" xfId="616"/>
    <cellStyle name="40% - Акцент4 63" xfId="617"/>
    <cellStyle name="40% - Акцент4 7" xfId="618"/>
    <cellStyle name="40% - Акцент4 8" xfId="619"/>
    <cellStyle name="40% - Акцент4 9" xfId="620"/>
    <cellStyle name="40% - Акцент5 10" xfId="621"/>
    <cellStyle name="40% - Акцент5 11" xfId="622"/>
    <cellStyle name="40% - Акцент5 12" xfId="623"/>
    <cellStyle name="40% - Акцент5 13" xfId="624"/>
    <cellStyle name="40% - Акцент5 14" xfId="625"/>
    <cellStyle name="40% - Акцент5 15" xfId="626"/>
    <cellStyle name="40% - Акцент5 16" xfId="627"/>
    <cellStyle name="40% - Акцент5 17" xfId="628"/>
    <cellStyle name="40% - Акцент5 18" xfId="629"/>
    <cellStyle name="40% - Акцент5 19" xfId="630"/>
    <cellStyle name="40% - Акцент5 2" xfId="631"/>
    <cellStyle name="40% - Акцент5 20" xfId="632"/>
    <cellStyle name="40% - Акцент5 21" xfId="633"/>
    <cellStyle name="40% - Акцент5 22" xfId="634"/>
    <cellStyle name="40% - Акцент5 23" xfId="635"/>
    <cellStyle name="40% - Акцент5 24" xfId="636"/>
    <cellStyle name="40% - Акцент5 25" xfId="637"/>
    <cellStyle name="40% - Акцент5 26" xfId="638"/>
    <cellStyle name="40% - Акцент5 27" xfId="639"/>
    <cellStyle name="40% - Акцент5 28" xfId="640"/>
    <cellStyle name="40% - Акцент5 29" xfId="641"/>
    <cellStyle name="40% - Акцент5 3" xfId="642"/>
    <cellStyle name="40% - Акцент5 30" xfId="643"/>
    <cellStyle name="40% - Акцент5 31" xfId="644"/>
    <cellStyle name="40% - Акцент5 32" xfId="645"/>
    <cellStyle name="40% - Акцент5 33" xfId="646"/>
    <cellStyle name="40% - Акцент5 34" xfId="647"/>
    <cellStyle name="40% - Акцент5 35" xfId="648"/>
    <cellStyle name="40% - Акцент5 36" xfId="649"/>
    <cellStyle name="40% - Акцент5 37" xfId="650"/>
    <cellStyle name="40% - Акцент5 38" xfId="651"/>
    <cellStyle name="40% - Акцент5 39" xfId="652"/>
    <cellStyle name="40% - Акцент5 4" xfId="653"/>
    <cellStyle name="40% - Акцент5 40" xfId="654"/>
    <cellStyle name="40% - Акцент5 41" xfId="655"/>
    <cellStyle name="40% - Акцент5 42" xfId="656"/>
    <cellStyle name="40% - Акцент5 43" xfId="657"/>
    <cellStyle name="40% - Акцент5 44" xfId="658"/>
    <cellStyle name="40% - Акцент5 45" xfId="659"/>
    <cellStyle name="40% - Акцент5 46" xfId="660"/>
    <cellStyle name="40% - Акцент5 47" xfId="661"/>
    <cellStyle name="40% - Акцент5 48" xfId="662"/>
    <cellStyle name="40% - Акцент5 49" xfId="663"/>
    <cellStyle name="40% - Акцент5 5" xfId="664"/>
    <cellStyle name="40% - Акцент5 50" xfId="665"/>
    <cellStyle name="40% - Акцент5 51" xfId="666"/>
    <cellStyle name="40% - Акцент5 52" xfId="667"/>
    <cellStyle name="40% - Акцент5 53" xfId="668"/>
    <cellStyle name="40% - Акцент5 54" xfId="669"/>
    <cellStyle name="40% - Акцент5 55" xfId="670"/>
    <cellStyle name="40% - Акцент5 56" xfId="671"/>
    <cellStyle name="40% - Акцент5 57" xfId="672"/>
    <cellStyle name="40% - Акцент5 58" xfId="673"/>
    <cellStyle name="40% - Акцент5 59" xfId="674"/>
    <cellStyle name="40% - Акцент5 6" xfId="675"/>
    <cellStyle name="40% - Акцент5 60" xfId="676"/>
    <cellStyle name="40% - Акцент5 61" xfId="677"/>
    <cellStyle name="40% - Акцент5 62" xfId="678"/>
    <cellStyle name="40% - Акцент5 63" xfId="679"/>
    <cellStyle name="40% - Акцент5 7" xfId="680"/>
    <cellStyle name="40% - Акцент5 8" xfId="681"/>
    <cellStyle name="40% - Акцент5 9" xfId="682"/>
    <cellStyle name="40% - Акцент6 10" xfId="683"/>
    <cellStyle name="40% - Акцент6 11" xfId="684"/>
    <cellStyle name="40% - Акцент6 12" xfId="685"/>
    <cellStyle name="40% - Акцент6 13" xfId="686"/>
    <cellStyle name="40% - Акцент6 14" xfId="687"/>
    <cellStyle name="40% - Акцент6 15" xfId="688"/>
    <cellStyle name="40% - Акцент6 16" xfId="689"/>
    <cellStyle name="40% - Акцент6 17" xfId="690"/>
    <cellStyle name="40% - Акцент6 18" xfId="691"/>
    <cellStyle name="40% - Акцент6 19" xfId="692"/>
    <cellStyle name="40% - Акцент6 2" xfId="693"/>
    <cellStyle name="40% - Акцент6 20" xfId="694"/>
    <cellStyle name="40% - Акцент6 21" xfId="695"/>
    <cellStyle name="40% - Акцент6 22" xfId="696"/>
    <cellStyle name="40% - Акцент6 23" xfId="697"/>
    <cellStyle name="40% - Акцент6 24" xfId="698"/>
    <cellStyle name="40% - Акцент6 25" xfId="699"/>
    <cellStyle name="40% - Акцент6 26" xfId="700"/>
    <cellStyle name="40% - Акцент6 27" xfId="701"/>
    <cellStyle name="40% - Акцент6 28" xfId="702"/>
    <cellStyle name="40% - Акцент6 29" xfId="703"/>
    <cellStyle name="40% - Акцент6 3" xfId="704"/>
    <cellStyle name="40% - Акцент6 30" xfId="705"/>
    <cellStyle name="40% - Акцент6 31" xfId="706"/>
    <cellStyle name="40% - Акцент6 32" xfId="707"/>
    <cellStyle name="40% - Акцент6 33" xfId="708"/>
    <cellStyle name="40% - Акцент6 34" xfId="709"/>
    <cellStyle name="40% - Акцент6 35" xfId="710"/>
    <cellStyle name="40% - Акцент6 36" xfId="711"/>
    <cellStyle name="40% - Акцент6 37" xfId="712"/>
    <cellStyle name="40% - Акцент6 38" xfId="713"/>
    <cellStyle name="40% - Акцент6 39" xfId="714"/>
    <cellStyle name="40% - Акцент6 4" xfId="715"/>
    <cellStyle name="40% - Акцент6 40" xfId="716"/>
    <cellStyle name="40% - Акцент6 41" xfId="717"/>
    <cellStyle name="40% - Акцент6 42" xfId="718"/>
    <cellStyle name="40% - Акцент6 43" xfId="719"/>
    <cellStyle name="40% - Акцент6 44" xfId="720"/>
    <cellStyle name="40% - Акцент6 45" xfId="721"/>
    <cellStyle name="40% - Акцент6 46" xfId="722"/>
    <cellStyle name="40% - Акцент6 47" xfId="723"/>
    <cellStyle name="40% - Акцент6 48" xfId="724"/>
    <cellStyle name="40% - Акцент6 49" xfId="725"/>
    <cellStyle name="40% - Акцент6 5" xfId="726"/>
    <cellStyle name="40% - Акцент6 50" xfId="727"/>
    <cellStyle name="40% - Акцент6 51" xfId="728"/>
    <cellStyle name="40% - Акцент6 52" xfId="729"/>
    <cellStyle name="40% - Акцент6 53" xfId="730"/>
    <cellStyle name="40% - Акцент6 54" xfId="731"/>
    <cellStyle name="40% - Акцент6 55" xfId="732"/>
    <cellStyle name="40% - Акцент6 56" xfId="733"/>
    <cellStyle name="40% - Акцент6 57" xfId="734"/>
    <cellStyle name="40% - Акцент6 58" xfId="735"/>
    <cellStyle name="40% - Акцент6 59" xfId="736"/>
    <cellStyle name="40% - Акцент6 6" xfId="737"/>
    <cellStyle name="40% - Акцент6 60" xfId="738"/>
    <cellStyle name="40% - Акцент6 61" xfId="739"/>
    <cellStyle name="40% - Акцент6 62" xfId="740"/>
    <cellStyle name="40% - Акцент6 63" xfId="741"/>
    <cellStyle name="40% - Акцент6 7" xfId="742"/>
    <cellStyle name="40% - Акцент6 8" xfId="743"/>
    <cellStyle name="40% - Акцент6 9" xfId="744"/>
    <cellStyle name="60% - Акцент1 10" xfId="745"/>
    <cellStyle name="60% - Акцент1 11" xfId="746"/>
    <cellStyle name="60% - Акцент1 12" xfId="747"/>
    <cellStyle name="60% - Акцент1 13" xfId="748"/>
    <cellStyle name="60% - Акцент1 14" xfId="749"/>
    <cellStyle name="60% - Акцент1 15" xfId="750"/>
    <cellStyle name="60% - Акцент1 16" xfId="751"/>
    <cellStyle name="60% - Акцент1 17" xfId="752"/>
    <cellStyle name="60% - Акцент1 18" xfId="753"/>
    <cellStyle name="60% - Акцент1 19" xfId="754"/>
    <cellStyle name="60% - Акцент1 2" xfId="755"/>
    <cellStyle name="60% - Акцент1 20" xfId="756"/>
    <cellStyle name="60% - Акцент1 21" xfId="757"/>
    <cellStyle name="60% - Акцент1 22" xfId="758"/>
    <cellStyle name="60% - Акцент1 23" xfId="759"/>
    <cellStyle name="60% - Акцент1 24" xfId="760"/>
    <cellStyle name="60% - Акцент1 25" xfId="761"/>
    <cellStyle name="60% - Акцент1 26" xfId="762"/>
    <cellStyle name="60% - Акцент1 27" xfId="763"/>
    <cellStyle name="60% - Акцент1 28" xfId="764"/>
    <cellStyle name="60% - Акцент1 29" xfId="765"/>
    <cellStyle name="60% - Акцент1 3" xfId="766"/>
    <cellStyle name="60% - Акцент1 30" xfId="767"/>
    <cellStyle name="60% - Акцент1 31" xfId="768"/>
    <cellStyle name="60% - Акцент1 32" xfId="769"/>
    <cellStyle name="60% - Акцент1 33" xfId="770"/>
    <cellStyle name="60% - Акцент1 34" xfId="771"/>
    <cellStyle name="60% - Акцент1 35" xfId="772"/>
    <cellStyle name="60% - Акцент1 36" xfId="773"/>
    <cellStyle name="60% - Акцент1 37" xfId="774"/>
    <cellStyle name="60% - Акцент1 38" xfId="775"/>
    <cellStyle name="60% - Акцент1 39" xfId="776"/>
    <cellStyle name="60% - Акцент1 4" xfId="777"/>
    <cellStyle name="60% - Акцент1 40" xfId="778"/>
    <cellStyle name="60% - Акцент1 41" xfId="779"/>
    <cellStyle name="60% - Акцент1 42" xfId="780"/>
    <cellStyle name="60% - Акцент1 43" xfId="781"/>
    <cellStyle name="60% - Акцент1 44" xfId="782"/>
    <cellStyle name="60% - Акцент1 45" xfId="783"/>
    <cellStyle name="60% - Акцент1 46" xfId="784"/>
    <cellStyle name="60% - Акцент1 47" xfId="785"/>
    <cellStyle name="60% - Акцент1 48" xfId="786"/>
    <cellStyle name="60% - Акцент1 49" xfId="787"/>
    <cellStyle name="60% - Акцент1 5" xfId="788"/>
    <cellStyle name="60% - Акцент1 50" xfId="789"/>
    <cellStyle name="60% - Акцент1 51" xfId="790"/>
    <cellStyle name="60% - Акцент1 52" xfId="791"/>
    <cellStyle name="60% - Акцент1 53" xfId="792"/>
    <cellStyle name="60% - Акцент1 54" xfId="793"/>
    <cellStyle name="60% - Акцент1 55" xfId="794"/>
    <cellStyle name="60% - Акцент1 56" xfId="795"/>
    <cellStyle name="60% - Акцент1 57" xfId="796"/>
    <cellStyle name="60% - Акцент1 58" xfId="797"/>
    <cellStyle name="60% - Акцент1 59" xfId="798"/>
    <cellStyle name="60% - Акцент1 6" xfId="799"/>
    <cellStyle name="60% - Акцент1 60" xfId="800"/>
    <cellStyle name="60% - Акцент1 61" xfId="801"/>
    <cellStyle name="60% - Акцент1 62" xfId="802"/>
    <cellStyle name="60% - Акцент1 63" xfId="803"/>
    <cellStyle name="60% - Акцент1 7" xfId="804"/>
    <cellStyle name="60% - Акцент1 8" xfId="805"/>
    <cellStyle name="60% - Акцент1 9" xfId="806"/>
    <cellStyle name="60% - Акцент2 10" xfId="807"/>
    <cellStyle name="60% - Акцент2 11" xfId="808"/>
    <cellStyle name="60% - Акцент2 12" xfId="809"/>
    <cellStyle name="60% - Акцент2 13" xfId="810"/>
    <cellStyle name="60% - Акцент2 14" xfId="811"/>
    <cellStyle name="60% - Акцент2 15" xfId="812"/>
    <cellStyle name="60% - Акцент2 16" xfId="813"/>
    <cellStyle name="60% - Акцент2 17" xfId="814"/>
    <cellStyle name="60% - Акцент2 18" xfId="815"/>
    <cellStyle name="60% - Акцент2 19" xfId="816"/>
    <cellStyle name="60% - Акцент2 2" xfId="817"/>
    <cellStyle name="60% - Акцент2 20" xfId="818"/>
    <cellStyle name="60% - Акцент2 21" xfId="819"/>
    <cellStyle name="60% - Акцент2 22" xfId="820"/>
    <cellStyle name="60% - Акцент2 23" xfId="821"/>
    <cellStyle name="60% - Акцент2 24" xfId="822"/>
    <cellStyle name="60% - Акцент2 25" xfId="823"/>
    <cellStyle name="60% - Акцент2 26" xfId="824"/>
    <cellStyle name="60% - Акцент2 27" xfId="825"/>
    <cellStyle name="60% - Акцент2 28" xfId="826"/>
    <cellStyle name="60% - Акцент2 29" xfId="827"/>
    <cellStyle name="60% - Акцент2 3" xfId="828"/>
    <cellStyle name="60% - Акцент2 30" xfId="829"/>
    <cellStyle name="60% - Акцент2 31" xfId="830"/>
    <cellStyle name="60% - Акцент2 32" xfId="831"/>
    <cellStyle name="60% - Акцент2 33" xfId="832"/>
    <cellStyle name="60% - Акцент2 34" xfId="833"/>
    <cellStyle name="60% - Акцент2 35" xfId="834"/>
    <cellStyle name="60% - Акцент2 36" xfId="835"/>
    <cellStyle name="60% - Акцент2 37" xfId="836"/>
    <cellStyle name="60% - Акцент2 38" xfId="837"/>
    <cellStyle name="60% - Акцент2 39" xfId="838"/>
    <cellStyle name="60% - Акцент2 4" xfId="839"/>
    <cellStyle name="60% - Акцент2 40" xfId="840"/>
    <cellStyle name="60% - Акцент2 41" xfId="841"/>
    <cellStyle name="60% - Акцент2 42" xfId="842"/>
    <cellStyle name="60% - Акцент2 43" xfId="843"/>
    <cellStyle name="60% - Акцент2 44" xfId="844"/>
    <cellStyle name="60% - Акцент2 45" xfId="845"/>
    <cellStyle name="60% - Акцент2 46" xfId="846"/>
    <cellStyle name="60% - Акцент2 47" xfId="847"/>
    <cellStyle name="60% - Акцент2 48" xfId="848"/>
    <cellStyle name="60% - Акцент2 49" xfId="849"/>
    <cellStyle name="60% - Акцент2 5" xfId="850"/>
    <cellStyle name="60% - Акцент2 50" xfId="851"/>
    <cellStyle name="60% - Акцент2 51" xfId="852"/>
    <cellStyle name="60% - Акцент2 52" xfId="853"/>
    <cellStyle name="60% - Акцент2 53" xfId="854"/>
    <cellStyle name="60% - Акцент2 54" xfId="855"/>
    <cellStyle name="60% - Акцент2 55" xfId="856"/>
    <cellStyle name="60% - Акцент2 56" xfId="857"/>
    <cellStyle name="60% - Акцент2 57" xfId="858"/>
    <cellStyle name="60% - Акцент2 58" xfId="859"/>
    <cellStyle name="60% - Акцент2 59" xfId="860"/>
    <cellStyle name="60% - Акцент2 6" xfId="861"/>
    <cellStyle name="60% - Акцент2 60" xfId="862"/>
    <cellStyle name="60% - Акцент2 61" xfId="863"/>
    <cellStyle name="60% - Акцент2 62" xfId="864"/>
    <cellStyle name="60% - Акцент2 63" xfId="865"/>
    <cellStyle name="60% - Акцент2 7" xfId="866"/>
    <cellStyle name="60% - Акцент2 8" xfId="867"/>
    <cellStyle name="60% - Акцент2 9" xfId="868"/>
    <cellStyle name="60% - Акцент3 10" xfId="869"/>
    <cellStyle name="60% - Акцент3 11" xfId="870"/>
    <cellStyle name="60% - Акцент3 12" xfId="871"/>
    <cellStyle name="60% - Акцент3 13" xfId="872"/>
    <cellStyle name="60% - Акцент3 14" xfId="873"/>
    <cellStyle name="60% - Акцент3 15" xfId="874"/>
    <cellStyle name="60% - Акцент3 16" xfId="875"/>
    <cellStyle name="60% - Акцент3 17" xfId="876"/>
    <cellStyle name="60% - Акцент3 18" xfId="877"/>
    <cellStyle name="60% - Акцент3 19" xfId="878"/>
    <cellStyle name="60% - Акцент3 2" xfId="879"/>
    <cellStyle name="60% - Акцент3 20" xfId="880"/>
    <cellStyle name="60% - Акцент3 21" xfId="881"/>
    <cellStyle name="60% - Акцент3 22" xfId="882"/>
    <cellStyle name="60% - Акцент3 23" xfId="883"/>
    <cellStyle name="60% - Акцент3 24" xfId="884"/>
    <cellStyle name="60% - Акцент3 25" xfId="885"/>
    <cellStyle name="60% - Акцент3 26" xfId="886"/>
    <cellStyle name="60% - Акцент3 27" xfId="887"/>
    <cellStyle name="60% - Акцент3 28" xfId="888"/>
    <cellStyle name="60% - Акцент3 29" xfId="889"/>
    <cellStyle name="60% - Акцент3 3" xfId="890"/>
    <cellStyle name="60% - Акцент3 30" xfId="891"/>
    <cellStyle name="60% - Акцент3 31" xfId="892"/>
    <cellStyle name="60% - Акцент3 32" xfId="893"/>
    <cellStyle name="60% - Акцент3 33" xfId="894"/>
    <cellStyle name="60% - Акцент3 34" xfId="895"/>
    <cellStyle name="60% - Акцент3 35" xfId="896"/>
    <cellStyle name="60% - Акцент3 36" xfId="897"/>
    <cellStyle name="60% - Акцент3 37" xfId="898"/>
    <cellStyle name="60% - Акцент3 38" xfId="899"/>
    <cellStyle name="60% - Акцент3 39" xfId="900"/>
    <cellStyle name="60% - Акцент3 4" xfId="901"/>
    <cellStyle name="60% - Акцент3 40" xfId="902"/>
    <cellStyle name="60% - Акцент3 41" xfId="903"/>
    <cellStyle name="60% - Акцент3 42" xfId="904"/>
    <cellStyle name="60% - Акцент3 43" xfId="905"/>
    <cellStyle name="60% - Акцент3 44" xfId="906"/>
    <cellStyle name="60% - Акцент3 45" xfId="907"/>
    <cellStyle name="60% - Акцент3 46" xfId="908"/>
    <cellStyle name="60% - Акцент3 47" xfId="909"/>
    <cellStyle name="60% - Акцент3 48" xfId="910"/>
    <cellStyle name="60% - Акцент3 49" xfId="911"/>
    <cellStyle name="60% - Акцент3 5" xfId="912"/>
    <cellStyle name="60% - Акцент3 50" xfId="913"/>
    <cellStyle name="60% - Акцент3 51" xfId="914"/>
    <cellStyle name="60% - Акцент3 52" xfId="915"/>
    <cellStyle name="60% - Акцент3 53" xfId="916"/>
    <cellStyle name="60% - Акцент3 54" xfId="917"/>
    <cellStyle name="60% - Акцент3 55" xfId="918"/>
    <cellStyle name="60% - Акцент3 56" xfId="919"/>
    <cellStyle name="60% - Акцент3 57" xfId="920"/>
    <cellStyle name="60% - Акцент3 58" xfId="921"/>
    <cellStyle name="60% - Акцент3 59" xfId="922"/>
    <cellStyle name="60% - Акцент3 6" xfId="923"/>
    <cellStyle name="60% - Акцент3 60" xfId="924"/>
    <cellStyle name="60% - Акцент3 61" xfId="925"/>
    <cellStyle name="60% - Акцент3 62" xfId="926"/>
    <cellStyle name="60% - Акцент3 63" xfId="927"/>
    <cellStyle name="60% - Акцент3 7" xfId="928"/>
    <cellStyle name="60% - Акцент3 8" xfId="929"/>
    <cellStyle name="60% - Акцент3 9" xfId="930"/>
    <cellStyle name="60% - Акцент4 10" xfId="931"/>
    <cellStyle name="60% - Акцент4 11" xfId="932"/>
    <cellStyle name="60% - Акцент4 12" xfId="933"/>
    <cellStyle name="60% - Акцент4 13" xfId="934"/>
    <cellStyle name="60% - Акцент4 14" xfId="935"/>
    <cellStyle name="60% - Акцент4 15" xfId="936"/>
    <cellStyle name="60% - Акцент4 16" xfId="937"/>
    <cellStyle name="60% - Акцент4 17" xfId="938"/>
    <cellStyle name="60% - Акцент4 18" xfId="939"/>
    <cellStyle name="60% - Акцент4 19" xfId="940"/>
    <cellStyle name="60% - Акцент4 2" xfId="941"/>
    <cellStyle name="60% - Акцент4 20" xfId="942"/>
    <cellStyle name="60% - Акцент4 21" xfId="943"/>
    <cellStyle name="60% - Акцент4 22" xfId="944"/>
    <cellStyle name="60% - Акцент4 23" xfId="945"/>
    <cellStyle name="60% - Акцент4 24" xfId="946"/>
    <cellStyle name="60% - Акцент4 25" xfId="947"/>
    <cellStyle name="60% - Акцент4 26" xfId="948"/>
    <cellStyle name="60% - Акцент4 27" xfId="949"/>
    <cellStyle name="60% - Акцент4 28" xfId="950"/>
    <cellStyle name="60% - Акцент4 29" xfId="951"/>
    <cellStyle name="60% - Акцент4 3" xfId="952"/>
    <cellStyle name="60% - Акцент4 30" xfId="953"/>
    <cellStyle name="60% - Акцент4 31" xfId="954"/>
    <cellStyle name="60% - Акцент4 32" xfId="955"/>
    <cellStyle name="60% - Акцент4 33" xfId="956"/>
    <cellStyle name="60% - Акцент4 34" xfId="957"/>
    <cellStyle name="60% - Акцент4 35" xfId="958"/>
    <cellStyle name="60% - Акцент4 36" xfId="959"/>
    <cellStyle name="60% - Акцент4 37" xfId="960"/>
    <cellStyle name="60% - Акцент4 38" xfId="961"/>
    <cellStyle name="60% - Акцент4 39" xfId="962"/>
    <cellStyle name="60% - Акцент4 4" xfId="963"/>
    <cellStyle name="60% - Акцент4 40" xfId="964"/>
    <cellStyle name="60% - Акцент4 41" xfId="965"/>
    <cellStyle name="60% - Акцент4 42" xfId="966"/>
    <cellStyle name="60% - Акцент4 43" xfId="967"/>
    <cellStyle name="60% - Акцент4 44" xfId="968"/>
    <cellStyle name="60% - Акцент4 45" xfId="969"/>
    <cellStyle name="60% - Акцент4 46" xfId="970"/>
    <cellStyle name="60% - Акцент4 47" xfId="971"/>
    <cellStyle name="60% - Акцент4 48" xfId="972"/>
    <cellStyle name="60% - Акцент4 49" xfId="973"/>
    <cellStyle name="60% - Акцент4 5" xfId="974"/>
    <cellStyle name="60% - Акцент4 50" xfId="975"/>
    <cellStyle name="60% - Акцент4 51" xfId="976"/>
    <cellStyle name="60% - Акцент4 52" xfId="977"/>
    <cellStyle name="60% - Акцент4 53" xfId="978"/>
    <cellStyle name="60% - Акцент4 54" xfId="979"/>
    <cellStyle name="60% - Акцент4 55" xfId="980"/>
    <cellStyle name="60% - Акцент4 56" xfId="981"/>
    <cellStyle name="60% - Акцент4 57" xfId="982"/>
    <cellStyle name="60% - Акцент4 58" xfId="983"/>
    <cellStyle name="60% - Акцент4 59" xfId="984"/>
    <cellStyle name="60% - Акцент4 6" xfId="985"/>
    <cellStyle name="60% - Акцент4 60" xfId="986"/>
    <cellStyle name="60% - Акцент4 61" xfId="987"/>
    <cellStyle name="60% - Акцент4 62" xfId="988"/>
    <cellStyle name="60% - Акцент4 63" xfId="989"/>
    <cellStyle name="60% - Акцент4 7" xfId="990"/>
    <cellStyle name="60% - Акцент4 8" xfId="991"/>
    <cellStyle name="60% - Акцент4 9" xfId="992"/>
    <cellStyle name="60% - Акцент5 10" xfId="993"/>
    <cellStyle name="60% - Акцент5 11" xfId="994"/>
    <cellStyle name="60% - Акцент5 12" xfId="995"/>
    <cellStyle name="60% - Акцент5 13" xfId="996"/>
    <cellStyle name="60% - Акцент5 14" xfId="997"/>
    <cellStyle name="60% - Акцент5 15" xfId="998"/>
    <cellStyle name="60% - Акцент5 16" xfId="999"/>
    <cellStyle name="60% - Акцент5 17" xfId="1000"/>
    <cellStyle name="60% - Акцент5 18" xfId="1001"/>
    <cellStyle name="60% - Акцент5 19" xfId="1002"/>
    <cellStyle name="60% - Акцент5 2" xfId="1003"/>
    <cellStyle name="60% - Акцент5 20" xfId="1004"/>
    <cellStyle name="60% - Акцент5 21" xfId="1005"/>
    <cellStyle name="60% - Акцент5 22" xfId="1006"/>
    <cellStyle name="60% - Акцент5 23" xfId="1007"/>
    <cellStyle name="60% - Акцент5 24" xfId="1008"/>
    <cellStyle name="60% - Акцент5 25" xfId="1009"/>
    <cellStyle name="60% - Акцент5 26" xfId="1010"/>
    <cellStyle name="60% - Акцент5 27" xfId="1011"/>
    <cellStyle name="60% - Акцент5 28" xfId="1012"/>
    <cellStyle name="60% - Акцент5 29" xfId="1013"/>
    <cellStyle name="60% - Акцент5 3" xfId="1014"/>
    <cellStyle name="60% - Акцент5 30" xfId="1015"/>
    <cellStyle name="60% - Акцент5 31" xfId="1016"/>
    <cellStyle name="60% - Акцент5 32" xfId="1017"/>
    <cellStyle name="60% - Акцент5 33" xfId="1018"/>
    <cellStyle name="60% - Акцент5 34" xfId="1019"/>
    <cellStyle name="60% - Акцент5 35" xfId="1020"/>
    <cellStyle name="60% - Акцент5 36" xfId="1021"/>
    <cellStyle name="60% - Акцент5 37" xfId="1022"/>
    <cellStyle name="60% - Акцент5 38" xfId="1023"/>
    <cellStyle name="60% - Акцент5 39" xfId="1024"/>
    <cellStyle name="60% - Акцент5 4" xfId="1025"/>
    <cellStyle name="60% - Акцент5 40" xfId="1026"/>
    <cellStyle name="60% - Акцент5 41" xfId="1027"/>
    <cellStyle name="60% - Акцент5 42" xfId="1028"/>
    <cellStyle name="60% - Акцент5 43" xfId="1029"/>
    <cellStyle name="60% - Акцент5 44" xfId="1030"/>
    <cellStyle name="60% - Акцент5 45" xfId="1031"/>
    <cellStyle name="60% - Акцент5 46" xfId="1032"/>
    <cellStyle name="60% - Акцент5 47" xfId="1033"/>
    <cellStyle name="60% - Акцент5 48" xfId="1034"/>
    <cellStyle name="60% - Акцент5 49" xfId="1035"/>
    <cellStyle name="60% - Акцент5 5" xfId="1036"/>
    <cellStyle name="60% - Акцент5 50" xfId="1037"/>
    <cellStyle name="60% - Акцент5 51" xfId="1038"/>
    <cellStyle name="60% - Акцент5 52" xfId="1039"/>
    <cellStyle name="60% - Акцент5 53" xfId="1040"/>
    <cellStyle name="60% - Акцент5 54" xfId="1041"/>
    <cellStyle name="60% - Акцент5 55" xfId="1042"/>
    <cellStyle name="60% - Акцент5 56" xfId="1043"/>
    <cellStyle name="60% - Акцент5 57" xfId="1044"/>
    <cellStyle name="60% - Акцент5 58" xfId="1045"/>
    <cellStyle name="60% - Акцент5 59" xfId="1046"/>
    <cellStyle name="60% - Акцент5 6" xfId="1047"/>
    <cellStyle name="60% - Акцент5 60" xfId="1048"/>
    <cellStyle name="60% - Акцент5 61" xfId="1049"/>
    <cellStyle name="60% - Акцент5 62" xfId="1050"/>
    <cellStyle name="60% - Акцент5 63" xfId="1051"/>
    <cellStyle name="60% - Акцент5 7" xfId="1052"/>
    <cellStyle name="60% - Акцент5 8" xfId="1053"/>
    <cellStyle name="60% - Акцент5 9" xfId="1054"/>
    <cellStyle name="60% - Акцент6 10" xfId="1055"/>
    <cellStyle name="60% - Акцент6 11" xfId="1056"/>
    <cellStyle name="60% - Акцент6 12" xfId="1057"/>
    <cellStyle name="60% - Акцент6 13" xfId="1058"/>
    <cellStyle name="60% - Акцент6 14" xfId="1059"/>
    <cellStyle name="60% - Акцент6 15" xfId="1060"/>
    <cellStyle name="60% - Акцент6 16" xfId="1061"/>
    <cellStyle name="60% - Акцент6 17" xfId="1062"/>
    <cellStyle name="60% - Акцент6 18" xfId="1063"/>
    <cellStyle name="60% - Акцент6 19" xfId="1064"/>
    <cellStyle name="60% - Акцент6 2" xfId="1065"/>
    <cellStyle name="60% - Акцент6 20" xfId="1066"/>
    <cellStyle name="60% - Акцент6 21" xfId="1067"/>
    <cellStyle name="60% - Акцент6 22" xfId="1068"/>
    <cellStyle name="60% - Акцент6 23" xfId="1069"/>
    <cellStyle name="60% - Акцент6 24" xfId="1070"/>
    <cellStyle name="60% - Акцент6 25" xfId="1071"/>
    <cellStyle name="60% - Акцент6 26" xfId="1072"/>
    <cellStyle name="60% - Акцент6 27" xfId="1073"/>
    <cellStyle name="60% - Акцент6 28" xfId="1074"/>
    <cellStyle name="60% - Акцент6 29" xfId="1075"/>
    <cellStyle name="60% - Акцент6 3" xfId="1076"/>
    <cellStyle name="60% - Акцент6 30" xfId="1077"/>
    <cellStyle name="60% - Акцент6 31" xfId="1078"/>
    <cellStyle name="60% - Акцент6 32" xfId="1079"/>
    <cellStyle name="60% - Акцент6 33" xfId="1080"/>
    <cellStyle name="60% - Акцент6 34" xfId="1081"/>
    <cellStyle name="60% - Акцент6 35" xfId="1082"/>
    <cellStyle name="60% - Акцент6 36" xfId="1083"/>
    <cellStyle name="60% - Акцент6 37" xfId="1084"/>
    <cellStyle name="60% - Акцент6 38" xfId="1085"/>
    <cellStyle name="60% - Акцент6 39" xfId="1086"/>
    <cellStyle name="60% - Акцент6 4" xfId="1087"/>
    <cellStyle name="60% - Акцент6 40" xfId="1088"/>
    <cellStyle name="60% - Акцент6 41" xfId="1089"/>
    <cellStyle name="60% - Акцент6 42" xfId="1090"/>
    <cellStyle name="60% - Акцент6 43" xfId="1091"/>
    <cellStyle name="60% - Акцент6 44" xfId="1092"/>
    <cellStyle name="60% - Акцент6 45" xfId="1093"/>
    <cellStyle name="60% - Акцент6 46" xfId="1094"/>
    <cellStyle name="60% - Акцент6 47" xfId="1095"/>
    <cellStyle name="60% - Акцент6 48" xfId="1096"/>
    <cellStyle name="60% - Акцент6 49" xfId="1097"/>
    <cellStyle name="60% - Акцент6 5" xfId="1098"/>
    <cellStyle name="60% - Акцент6 50" xfId="1099"/>
    <cellStyle name="60% - Акцент6 51" xfId="1100"/>
    <cellStyle name="60% - Акцент6 52" xfId="1101"/>
    <cellStyle name="60% - Акцент6 53" xfId="1102"/>
    <cellStyle name="60% - Акцент6 54" xfId="1103"/>
    <cellStyle name="60% - Акцент6 55" xfId="1104"/>
    <cellStyle name="60% - Акцент6 56" xfId="1105"/>
    <cellStyle name="60% - Акцент6 57" xfId="1106"/>
    <cellStyle name="60% - Акцент6 58" xfId="1107"/>
    <cellStyle name="60% - Акцент6 59" xfId="1108"/>
    <cellStyle name="60% - Акцент6 6" xfId="1109"/>
    <cellStyle name="60% - Акцент6 60" xfId="1110"/>
    <cellStyle name="60% - Акцент6 61" xfId="1111"/>
    <cellStyle name="60% - Акцент6 62" xfId="1112"/>
    <cellStyle name="60% - Акцент6 63" xfId="1113"/>
    <cellStyle name="60% - Акцент6 7" xfId="1114"/>
    <cellStyle name="60% - Акцент6 8" xfId="1115"/>
    <cellStyle name="60% - Акцент6 9" xfId="1116"/>
    <cellStyle name="Normal_Sheet1" xfId="1117"/>
    <cellStyle name="Акцент1 10" xfId="1118"/>
    <cellStyle name="Акцент1 11" xfId="1119"/>
    <cellStyle name="Акцент1 12" xfId="1120"/>
    <cellStyle name="Акцент1 13" xfId="1121"/>
    <cellStyle name="Акцент1 14" xfId="1122"/>
    <cellStyle name="Акцент1 15" xfId="1123"/>
    <cellStyle name="Акцент1 16" xfId="1124"/>
    <cellStyle name="Акцент1 17" xfId="1125"/>
    <cellStyle name="Акцент1 18" xfId="1126"/>
    <cellStyle name="Акцент1 19" xfId="1127"/>
    <cellStyle name="Акцент1 2" xfId="1128"/>
    <cellStyle name="Акцент1 20" xfId="1129"/>
    <cellStyle name="Акцент1 21" xfId="1130"/>
    <cellStyle name="Акцент1 22" xfId="1131"/>
    <cellStyle name="Акцент1 23" xfId="1132"/>
    <cellStyle name="Акцент1 24" xfId="1133"/>
    <cellStyle name="Акцент1 25" xfId="1134"/>
    <cellStyle name="Акцент1 26" xfId="1135"/>
    <cellStyle name="Акцент1 27" xfId="1136"/>
    <cellStyle name="Акцент1 28" xfId="1137"/>
    <cellStyle name="Акцент1 29" xfId="1138"/>
    <cellStyle name="Акцент1 3" xfId="1139"/>
    <cellStyle name="Акцент1 30" xfId="1140"/>
    <cellStyle name="Акцент1 31" xfId="1141"/>
    <cellStyle name="Акцент1 32" xfId="1142"/>
    <cellStyle name="Акцент1 33" xfId="1143"/>
    <cellStyle name="Акцент1 34" xfId="1144"/>
    <cellStyle name="Акцент1 35" xfId="1145"/>
    <cellStyle name="Акцент1 36" xfId="1146"/>
    <cellStyle name="Акцент1 37" xfId="1147"/>
    <cellStyle name="Акцент1 38" xfId="1148"/>
    <cellStyle name="Акцент1 39" xfId="1149"/>
    <cellStyle name="Акцент1 4" xfId="1150"/>
    <cellStyle name="Акцент1 40" xfId="1151"/>
    <cellStyle name="Акцент1 41" xfId="1152"/>
    <cellStyle name="Акцент1 42" xfId="1153"/>
    <cellStyle name="Акцент1 43" xfId="1154"/>
    <cellStyle name="Акцент1 44" xfId="1155"/>
    <cellStyle name="Акцент1 45" xfId="1156"/>
    <cellStyle name="Акцент1 46" xfId="1157"/>
    <cellStyle name="Акцент1 47" xfId="1158"/>
    <cellStyle name="Акцент1 48" xfId="1159"/>
    <cellStyle name="Акцент1 49" xfId="1160"/>
    <cellStyle name="Акцент1 5" xfId="1161"/>
    <cellStyle name="Акцент1 50" xfId="1162"/>
    <cellStyle name="Акцент1 51" xfId="1163"/>
    <cellStyle name="Акцент1 52" xfId="1164"/>
    <cellStyle name="Акцент1 53" xfId="1165"/>
    <cellStyle name="Акцент1 54" xfId="1166"/>
    <cellStyle name="Акцент1 55" xfId="1167"/>
    <cellStyle name="Акцент1 56" xfId="1168"/>
    <cellStyle name="Акцент1 57" xfId="1169"/>
    <cellStyle name="Акцент1 58" xfId="1170"/>
    <cellStyle name="Акцент1 59" xfId="1171"/>
    <cellStyle name="Акцент1 6" xfId="1172"/>
    <cellStyle name="Акцент1 60" xfId="1173"/>
    <cellStyle name="Акцент1 61" xfId="1174"/>
    <cellStyle name="Акцент1 62" xfId="1175"/>
    <cellStyle name="Акцент1 63" xfId="1176"/>
    <cellStyle name="Акцент1 7" xfId="1177"/>
    <cellStyle name="Акцент1 8" xfId="1178"/>
    <cellStyle name="Акцент1 9" xfId="1179"/>
    <cellStyle name="Акцент2 10" xfId="1180"/>
    <cellStyle name="Акцент2 11" xfId="1181"/>
    <cellStyle name="Акцент2 12" xfId="1182"/>
    <cellStyle name="Акцент2 13" xfId="1183"/>
    <cellStyle name="Акцент2 14" xfId="1184"/>
    <cellStyle name="Акцент2 15" xfId="1185"/>
    <cellStyle name="Акцент2 16" xfId="1186"/>
    <cellStyle name="Акцент2 17" xfId="1187"/>
    <cellStyle name="Акцент2 18" xfId="1188"/>
    <cellStyle name="Акцент2 19" xfId="1189"/>
    <cellStyle name="Акцент2 2" xfId="1190"/>
    <cellStyle name="Акцент2 20" xfId="1191"/>
    <cellStyle name="Акцент2 21" xfId="1192"/>
    <cellStyle name="Акцент2 22" xfId="1193"/>
    <cellStyle name="Акцент2 23" xfId="1194"/>
    <cellStyle name="Акцент2 24" xfId="1195"/>
    <cellStyle name="Акцент2 25" xfId="1196"/>
    <cellStyle name="Акцент2 26" xfId="1197"/>
    <cellStyle name="Акцент2 27" xfId="1198"/>
    <cellStyle name="Акцент2 28" xfId="1199"/>
    <cellStyle name="Акцент2 29" xfId="1200"/>
    <cellStyle name="Акцент2 3" xfId="1201"/>
    <cellStyle name="Акцент2 30" xfId="1202"/>
    <cellStyle name="Акцент2 31" xfId="1203"/>
    <cellStyle name="Акцент2 32" xfId="1204"/>
    <cellStyle name="Акцент2 33" xfId="1205"/>
    <cellStyle name="Акцент2 34" xfId="1206"/>
    <cellStyle name="Акцент2 35" xfId="1207"/>
    <cellStyle name="Акцент2 36" xfId="1208"/>
    <cellStyle name="Акцент2 37" xfId="1209"/>
    <cellStyle name="Акцент2 38" xfId="1210"/>
    <cellStyle name="Акцент2 39" xfId="1211"/>
    <cellStyle name="Акцент2 4" xfId="1212"/>
    <cellStyle name="Акцент2 40" xfId="1213"/>
    <cellStyle name="Акцент2 41" xfId="1214"/>
    <cellStyle name="Акцент2 42" xfId="1215"/>
    <cellStyle name="Акцент2 43" xfId="1216"/>
    <cellStyle name="Акцент2 44" xfId="1217"/>
    <cellStyle name="Акцент2 45" xfId="1218"/>
    <cellStyle name="Акцент2 46" xfId="1219"/>
    <cellStyle name="Акцент2 47" xfId="1220"/>
    <cellStyle name="Акцент2 48" xfId="1221"/>
    <cellStyle name="Акцент2 49" xfId="1222"/>
    <cellStyle name="Акцент2 5" xfId="1223"/>
    <cellStyle name="Акцент2 50" xfId="1224"/>
    <cellStyle name="Акцент2 51" xfId="1225"/>
    <cellStyle name="Акцент2 52" xfId="1226"/>
    <cellStyle name="Акцент2 53" xfId="1227"/>
    <cellStyle name="Акцент2 54" xfId="1228"/>
    <cellStyle name="Акцент2 55" xfId="1229"/>
    <cellStyle name="Акцент2 56" xfId="1230"/>
    <cellStyle name="Акцент2 57" xfId="1231"/>
    <cellStyle name="Акцент2 58" xfId="1232"/>
    <cellStyle name="Акцент2 59" xfId="1233"/>
    <cellStyle name="Акцент2 6" xfId="1234"/>
    <cellStyle name="Акцент2 60" xfId="1235"/>
    <cellStyle name="Акцент2 61" xfId="1236"/>
    <cellStyle name="Акцент2 62" xfId="1237"/>
    <cellStyle name="Акцент2 63" xfId="1238"/>
    <cellStyle name="Акцент2 7" xfId="1239"/>
    <cellStyle name="Акцент2 8" xfId="1240"/>
    <cellStyle name="Акцент2 9" xfId="1241"/>
    <cellStyle name="Акцент3 10" xfId="1242"/>
    <cellStyle name="Акцент3 11" xfId="1243"/>
    <cellStyle name="Акцент3 12" xfId="1244"/>
    <cellStyle name="Акцент3 13" xfId="1245"/>
    <cellStyle name="Акцент3 14" xfId="1246"/>
    <cellStyle name="Акцент3 15" xfId="1247"/>
    <cellStyle name="Акцент3 16" xfId="1248"/>
    <cellStyle name="Акцент3 17" xfId="1249"/>
    <cellStyle name="Акцент3 18" xfId="1250"/>
    <cellStyle name="Акцент3 19" xfId="1251"/>
    <cellStyle name="Акцент3 2" xfId="1252"/>
    <cellStyle name="Акцент3 20" xfId="1253"/>
    <cellStyle name="Акцент3 21" xfId="1254"/>
    <cellStyle name="Акцент3 22" xfId="1255"/>
    <cellStyle name="Акцент3 23" xfId="1256"/>
    <cellStyle name="Акцент3 24" xfId="1257"/>
    <cellStyle name="Акцент3 25" xfId="1258"/>
    <cellStyle name="Акцент3 26" xfId="1259"/>
    <cellStyle name="Акцент3 27" xfId="1260"/>
    <cellStyle name="Акцент3 28" xfId="1261"/>
    <cellStyle name="Акцент3 29" xfId="1262"/>
    <cellStyle name="Акцент3 3" xfId="1263"/>
    <cellStyle name="Акцент3 30" xfId="1264"/>
    <cellStyle name="Акцент3 31" xfId="1265"/>
    <cellStyle name="Акцент3 32" xfId="1266"/>
    <cellStyle name="Акцент3 33" xfId="1267"/>
    <cellStyle name="Акцент3 34" xfId="1268"/>
    <cellStyle name="Акцент3 35" xfId="1269"/>
    <cellStyle name="Акцент3 36" xfId="1270"/>
    <cellStyle name="Акцент3 37" xfId="1271"/>
    <cellStyle name="Акцент3 38" xfId="1272"/>
    <cellStyle name="Акцент3 39" xfId="1273"/>
    <cellStyle name="Акцент3 4" xfId="1274"/>
    <cellStyle name="Акцент3 40" xfId="1275"/>
    <cellStyle name="Акцент3 41" xfId="1276"/>
    <cellStyle name="Акцент3 42" xfId="1277"/>
    <cellStyle name="Акцент3 43" xfId="1278"/>
    <cellStyle name="Акцент3 44" xfId="1279"/>
    <cellStyle name="Акцент3 45" xfId="1280"/>
    <cellStyle name="Акцент3 46" xfId="1281"/>
    <cellStyle name="Акцент3 47" xfId="1282"/>
    <cellStyle name="Акцент3 48" xfId="1283"/>
    <cellStyle name="Акцент3 49" xfId="1284"/>
    <cellStyle name="Акцент3 5" xfId="1285"/>
    <cellStyle name="Акцент3 50" xfId="1286"/>
    <cellStyle name="Акцент3 51" xfId="1287"/>
    <cellStyle name="Акцент3 52" xfId="1288"/>
    <cellStyle name="Акцент3 53" xfId="1289"/>
    <cellStyle name="Акцент3 54" xfId="1290"/>
    <cellStyle name="Акцент3 55" xfId="1291"/>
    <cellStyle name="Акцент3 56" xfId="1292"/>
    <cellStyle name="Акцент3 57" xfId="1293"/>
    <cellStyle name="Акцент3 58" xfId="1294"/>
    <cellStyle name="Акцент3 59" xfId="1295"/>
    <cellStyle name="Акцент3 6" xfId="1296"/>
    <cellStyle name="Акцент3 60" xfId="1297"/>
    <cellStyle name="Акцент3 61" xfId="1298"/>
    <cellStyle name="Акцент3 62" xfId="1299"/>
    <cellStyle name="Акцент3 63" xfId="1300"/>
    <cellStyle name="Акцент3 7" xfId="1301"/>
    <cellStyle name="Акцент3 8" xfId="1302"/>
    <cellStyle name="Акцент3 9" xfId="1303"/>
    <cellStyle name="Акцент4 10" xfId="1304"/>
    <cellStyle name="Акцент4 11" xfId="1305"/>
    <cellStyle name="Акцент4 12" xfId="1306"/>
    <cellStyle name="Акцент4 13" xfId="1307"/>
    <cellStyle name="Акцент4 14" xfId="1308"/>
    <cellStyle name="Акцент4 15" xfId="1309"/>
    <cellStyle name="Акцент4 16" xfId="1310"/>
    <cellStyle name="Акцент4 17" xfId="1311"/>
    <cellStyle name="Акцент4 18" xfId="1312"/>
    <cellStyle name="Акцент4 19" xfId="1313"/>
    <cellStyle name="Акцент4 2" xfId="1314"/>
    <cellStyle name="Акцент4 20" xfId="1315"/>
    <cellStyle name="Акцент4 21" xfId="1316"/>
    <cellStyle name="Акцент4 22" xfId="1317"/>
    <cellStyle name="Акцент4 23" xfId="1318"/>
    <cellStyle name="Акцент4 24" xfId="1319"/>
    <cellStyle name="Акцент4 25" xfId="1320"/>
    <cellStyle name="Акцент4 26" xfId="1321"/>
    <cellStyle name="Акцент4 27" xfId="1322"/>
    <cellStyle name="Акцент4 28" xfId="1323"/>
    <cellStyle name="Акцент4 29" xfId="1324"/>
    <cellStyle name="Акцент4 3" xfId="1325"/>
    <cellStyle name="Акцент4 30" xfId="1326"/>
    <cellStyle name="Акцент4 31" xfId="1327"/>
    <cellStyle name="Акцент4 32" xfId="1328"/>
    <cellStyle name="Акцент4 33" xfId="1329"/>
    <cellStyle name="Акцент4 34" xfId="1330"/>
    <cellStyle name="Акцент4 35" xfId="1331"/>
    <cellStyle name="Акцент4 36" xfId="1332"/>
    <cellStyle name="Акцент4 37" xfId="1333"/>
    <cellStyle name="Акцент4 38" xfId="1334"/>
    <cellStyle name="Акцент4 39" xfId="1335"/>
    <cellStyle name="Акцент4 4" xfId="1336"/>
    <cellStyle name="Акцент4 40" xfId="1337"/>
    <cellStyle name="Акцент4 41" xfId="1338"/>
    <cellStyle name="Акцент4 42" xfId="1339"/>
    <cellStyle name="Акцент4 43" xfId="1340"/>
    <cellStyle name="Акцент4 44" xfId="1341"/>
    <cellStyle name="Акцент4 45" xfId="1342"/>
    <cellStyle name="Акцент4 46" xfId="1343"/>
    <cellStyle name="Акцент4 47" xfId="1344"/>
    <cellStyle name="Акцент4 48" xfId="1345"/>
    <cellStyle name="Акцент4 49" xfId="1346"/>
    <cellStyle name="Акцент4 5" xfId="1347"/>
    <cellStyle name="Акцент4 50" xfId="1348"/>
    <cellStyle name="Акцент4 51" xfId="1349"/>
    <cellStyle name="Акцент4 52" xfId="1350"/>
    <cellStyle name="Акцент4 53" xfId="1351"/>
    <cellStyle name="Акцент4 54" xfId="1352"/>
    <cellStyle name="Акцент4 55" xfId="1353"/>
    <cellStyle name="Акцент4 56" xfId="1354"/>
    <cellStyle name="Акцент4 57" xfId="1355"/>
    <cellStyle name="Акцент4 58" xfId="1356"/>
    <cellStyle name="Акцент4 59" xfId="1357"/>
    <cellStyle name="Акцент4 6" xfId="1358"/>
    <cellStyle name="Акцент4 60" xfId="1359"/>
    <cellStyle name="Акцент4 61" xfId="1360"/>
    <cellStyle name="Акцент4 62" xfId="1361"/>
    <cellStyle name="Акцент4 63" xfId="1362"/>
    <cellStyle name="Акцент4 7" xfId="1363"/>
    <cellStyle name="Акцент4 8" xfId="1364"/>
    <cellStyle name="Акцент4 9" xfId="1365"/>
    <cellStyle name="Акцент5 10" xfId="1366"/>
    <cellStyle name="Акцент5 11" xfId="1367"/>
    <cellStyle name="Акцент5 12" xfId="1368"/>
    <cellStyle name="Акцент5 13" xfId="1369"/>
    <cellStyle name="Акцент5 14" xfId="1370"/>
    <cellStyle name="Акцент5 15" xfId="1371"/>
    <cellStyle name="Акцент5 16" xfId="1372"/>
    <cellStyle name="Акцент5 17" xfId="1373"/>
    <cellStyle name="Акцент5 18" xfId="1374"/>
    <cellStyle name="Акцент5 19" xfId="1375"/>
    <cellStyle name="Акцент5 2" xfId="1376"/>
    <cellStyle name="Акцент5 20" xfId="1377"/>
    <cellStyle name="Акцент5 21" xfId="1378"/>
    <cellStyle name="Акцент5 22" xfId="1379"/>
    <cellStyle name="Акцент5 23" xfId="1380"/>
    <cellStyle name="Акцент5 24" xfId="1381"/>
    <cellStyle name="Акцент5 25" xfId="1382"/>
    <cellStyle name="Акцент5 26" xfId="1383"/>
    <cellStyle name="Акцент5 27" xfId="1384"/>
    <cellStyle name="Акцент5 28" xfId="1385"/>
    <cellStyle name="Акцент5 29" xfId="1386"/>
    <cellStyle name="Акцент5 3" xfId="1387"/>
    <cellStyle name="Акцент5 30" xfId="1388"/>
    <cellStyle name="Акцент5 31" xfId="1389"/>
    <cellStyle name="Акцент5 32" xfId="1390"/>
    <cellStyle name="Акцент5 33" xfId="1391"/>
    <cellStyle name="Акцент5 34" xfId="1392"/>
    <cellStyle name="Акцент5 35" xfId="1393"/>
    <cellStyle name="Акцент5 36" xfId="1394"/>
    <cellStyle name="Акцент5 37" xfId="1395"/>
    <cellStyle name="Акцент5 38" xfId="1396"/>
    <cellStyle name="Акцент5 39" xfId="1397"/>
    <cellStyle name="Акцент5 4" xfId="1398"/>
    <cellStyle name="Акцент5 40" xfId="1399"/>
    <cellStyle name="Акцент5 41" xfId="1400"/>
    <cellStyle name="Акцент5 42" xfId="1401"/>
    <cellStyle name="Акцент5 43" xfId="1402"/>
    <cellStyle name="Акцент5 44" xfId="1403"/>
    <cellStyle name="Акцент5 45" xfId="1404"/>
    <cellStyle name="Акцент5 46" xfId="1405"/>
    <cellStyle name="Акцент5 47" xfId="1406"/>
    <cellStyle name="Акцент5 48" xfId="1407"/>
    <cellStyle name="Акцент5 49" xfId="1408"/>
    <cellStyle name="Акцент5 5" xfId="1409"/>
    <cellStyle name="Акцент5 50" xfId="1410"/>
    <cellStyle name="Акцент5 51" xfId="1411"/>
    <cellStyle name="Акцент5 52" xfId="1412"/>
    <cellStyle name="Акцент5 53" xfId="1413"/>
    <cellStyle name="Акцент5 54" xfId="1414"/>
    <cellStyle name="Акцент5 55" xfId="1415"/>
    <cellStyle name="Акцент5 56" xfId="1416"/>
    <cellStyle name="Акцент5 57" xfId="1417"/>
    <cellStyle name="Акцент5 58" xfId="1418"/>
    <cellStyle name="Акцент5 59" xfId="1419"/>
    <cellStyle name="Акцент5 6" xfId="1420"/>
    <cellStyle name="Акцент5 60" xfId="1421"/>
    <cellStyle name="Акцент5 61" xfId="1422"/>
    <cellStyle name="Акцент5 62" xfId="1423"/>
    <cellStyle name="Акцент5 63" xfId="1424"/>
    <cellStyle name="Акцент5 7" xfId="1425"/>
    <cellStyle name="Акцент5 8" xfId="1426"/>
    <cellStyle name="Акцент5 9" xfId="1427"/>
    <cellStyle name="Акцент6 10" xfId="1428"/>
    <cellStyle name="Акцент6 11" xfId="1429"/>
    <cellStyle name="Акцент6 12" xfId="1430"/>
    <cellStyle name="Акцент6 13" xfId="1431"/>
    <cellStyle name="Акцент6 14" xfId="1432"/>
    <cellStyle name="Акцент6 15" xfId="1433"/>
    <cellStyle name="Акцент6 16" xfId="1434"/>
    <cellStyle name="Акцент6 17" xfId="1435"/>
    <cellStyle name="Акцент6 18" xfId="1436"/>
    <cellStyle name="Акцент6 19" xfId="1437"/>
    <cellStyle name="Акцент6 2" xfId="1438"/>
    <cellStyle name="Акцент6 20" xfId="1439"/>
    <cellStyle name="Акцент6 21" xfId="1440"/>
    <cellStyle name="Акцент6 22" xfId="1441"/>
    <cellStyle name="Акцент6 23" xfId="1442"/>
    <cellStyle name="Акцент6 24" xfId="1443"/>
    <cellStyle name="Акцент6 25" xfId="1444"/>
    <cellStyle name="Акцент6 26" xfId="1445"/>
    <cellStyle name="Акцент6 27" xfId="1446"/>
    <cellStyle name="Акцент6 28" xfId="1447"/>
    <cellStyle name="Акцент6 29" xfId="1448"/>
    <cellStyle name="Акцент6 3" xfId="1449"/>
    <cellStyle name="Акцент6 30" xfId="1450"/>
    <cellStyle name="Акцент6 31" xfId="1451"/>
    <cellStyle name="Акцент6 32" xfId="1452"/>
    <cellStyle name="Акцент6 33" xfId="1453"/>
    <cellStyle name="Акцент6 34" xfId="1454"/>
    <cellStyle name="Акцент6 35" xfId="1455"/>
    <cellStyle name="Акцент6 36" xfId="1456"/>
    <cellStyle name="Акцент6 37" xfId="1457"/>
    <cellStyle name="Акцент6 38" xfId="1458"/>
    <cellStyle name="Акцент6 39" xfId="1459"/>
    <cellStyle name="Акцент6 4" xfId="1460"/>
    <cellStyle name="Акцент6 40" xfId="1461"/>
    <cellStyle name="Акцент6 41" xfId="1462"/>
    <cellStyle name="Акцент6 42" xfId="1463"/>
    <cellStyle name="Акцент6 43" xfId="1464"/>
    <cellStyle name="Акцент6 44" xfId="1465"/>
    <cellStyle name="Акцент6 45" xfId="1466"/>
    <cellStyle name="Акцент6 46" xfId="1467"/>
    <cellStyle name="Акцент6 47" xfId="1468"/>
    <cellStyle name="Акцент6 48" xfId="1469"/>
    <cellStyle name="Акцент6 49" xfId="1470"/>
    <cellStyle name="Акцент6 5" xfId="1471"/>
    <cellStyle name="Акцент6 50" xfId="1472"/>
    <cellStyle name="Акцент6 51" xfId="1473"/>
    <cellStyle name="Акцент6 52" xfId="1474"/>
    <cellStyle name="Акцент6 53" xfId="1475"/>
    <cellStyle name="Акцент6 54" xfId="1476"/>
    <cellStyle name="Акцент6 55" xfId="1477"/>
    <cellStyle name="Акцент6 56" xfId="1478"/>
    <cellStyle name="Акцент6 57" xfId="1479"/>
    <cellStyle name="Акцент6 58" xfId="1480"/>
    <cellStyle name="Акцент6 59" xfId="1481"/>
    <cellStyle name="Акцент6 6" xfId="1482"/>
    <cellStyle name="Акцент6 60" xfId="1483"/>
    <cellStyle name="Акцент6 61" xfId="1484"/>
    <cellStyle name="Акцент6 62" xfId="1485"/>
    <cellStyle name="Акцент6 63" xfId="1486"/>
    <cellStyle name="Акцент6 7" xfId="1487"/>
    <cellStyle name="Акцент6 8" xfId="1488"/>
    <cellStyle name="Акцент6 9" xfId="1489"/>
    <cellStyle name="Ввод  10" xfId="1490"/>
    <cellStyle name="Ввод  11" xfId="1491"/>
    <cellStyle name="Ввод  12" xfId="1492"/>
    <cellStyle name="Ввод  13" xfId="1493"/>
    <cellStyle name="Ввод  14" xfId="1494"/>
    <cellStyle name="Ввод  15" xfId="1495"/>
    <cellStyle name="Ввод  16" xfId="1496"/>
    <cellStyle name="Ввод  17" xfId="1497"/>
    <cellStyle name="Ввод  18" xfId="1498"/>
    <cellStyle name="Ввод  19" xfId="1499"/>
    <cellStyle name="Ввод  2" xfId="1500"/>
    <cellStyle name="Ввод  20" xfId="1501"/>
    <cellStyle name="Ввод  21" xfId="1502"/>
    <cellStyle name="Ввод  22" xfId="1503"/>
    <cellStyle name="Ввод  23" xfId="1504"/>
    <cellStyle name="Ввод  24" xfId="1505"/>
    <cellStyle name="Ввод  25" xfId="1506"/>
    <cellStyle name="Ввод  26" xfId="1507"/>
    <cellStyle name="Ввод  27" xfId="1508"/>
    <cellStyle name="Ввод  28" xfId="1509"/>
    <cellStyle name="Ввод  29" xfId="1510"/>
    <cellStyle name="Ввод  3" xfId="1511"/>
    <cellStyle name="Ввод  30" xfId="1512"/>
    <cellStyle name="Ввод  31" xfId="1513"/>
    <cellStyle name="Ввод  32" xfId="1514"/>
    <cellStyle name="Ввод  33" xfId="1515"/>
    <cellStyle name="Ввод  34" xfId="1516"/>
    <cellStyle name="Ввод  35" xfId="1517"/>
    <cellStyle name="Ввод  36" xfId="1518"/>
    <cellStyle name="Ввод  37" xfId="1519"/>
    <cellStyle name="Ввод  38" xfId="1520"/>
    <cellStyle name="Ввод  39" xfId="1521"/>
    <cellStyle name="Ввод  4" xfId="1522"/>
    <cellStyle name="Ввод  40" xfId="1523"/>
    <cellStyle name="Ввод  41" xfId="1524"/>
    <cellStyle name="Ввод  42" xfId="1525"/>
    <cellStyle name="Ввод  43" xfId="1526"/>
    <cellStyle name="Ввод  44" xfId="1527"/>
    <cellStyle name="Ввод  45" xfId="1528"/>
    <cellStyle name="Ввод  46" xfId="1529"/>
    <cellStyle name="Ввод  47" xfId="1530"/>
    <cellStyle name="Ввод  48" xfId="1531"/>
    <cellStyle name="Ввод  49" xfId="1532"/>
    <cellStyle name="Ввод  5" xfId="1533"/>
    <cellStyle name="Ввод  50" xfId="1534"/>
    <cellStyle name="Ввод  51" xfId="1535"/>
    <cellStyle name="Ввод  52" xfId="1536"/>
    <cellStyle name="Ввод  53" xfId="1537"/>
    <cellStyle name="Ввод  54" xfId="1538"/>
    <cellStyle name="Ввод  55" xfId="1539"/>
    <cellStyle name="Ввод  56" xfId="1540"/>
    <cellStyle name="Ввод  57" xfId="1541"/>
    <cellStyle name="Ввод  58" xfId="1542"/>
    <cellStyle name="Ввод  59" xfId="1543"/>
    <cellStyle name="Ввод  6" xfId="1544"/>
    <cellStyle name="Ввод  60" xfId="1545"/>
    <cellStyle name="Ввод  61" xfId="1546"/>
    <cellStyle name="Ввод  62" xfId="1547"/>
    <cellStyle name="Ввод  63" xfId="1548"/>
    <cellStyle name="Ввод  7" xfId="1549"/>
    <cellStyle name="Ввод  8" xfId="1550"/>
    <cellStyle name="Ввод  9" xfId="1551"/>
    <cellStyle name="Вывод 10" xfId="1552"/>
    <cellStyle name="Вывод 11" xfId="1553"/>
    <cellStyle name="Вывод 12" xfId="1554"/>
    <cellStyle name="Вывод 13" xfId="1555"/>
    <cellStyle name="Вывод 14" xfId="1556"/>
    <cellStyle name="Вывод 15" xfId="1557"/>
    <cellStyle name="Вывод 16" xfId="1558"/>
    <cellStyle name="Вывод 17" xfId="1559"/>
    <cellStyle name="Вывод 18" xfId="1560"/>
    <cellStyle name="Вывод 19" xfId="1561"/>
    <cellStyle name="Вывод 2" xfId="1562"/>
    <cellStyle name="Вывод 20" xfId="1563"/>
    <cellStyle name="Вывод 21" xfId="1564"/>
    <cellStyle name="Вывод 22" xfId="1565"/>
    <cellStyle name="Вывод 23" xfId="1566"/>
    <cellStyle name="Вывод 24" xfId="1567"/>
    <cellStyle name="Вывод 25" xfId="1568"/>
    <cellStyle name="Вывод 26" xfId="1569"/>
    <cellStyle name="Вывод 27" xfId="1570"/>
    <cellStyle name="Вывод 28" xfId="1571"/>
    <cellStyle name="Вывод 29" xfId="1572"/>
    <cellStyle name="Вывод 3" xfId="1573"/>
    <cellStyle name="Вывод 30" xfId="1574"/>
    <cellStyle name="Вывод 31" xfId="1575"/>
    <cellStyle name="Вывод 32" xfId="1576"/>
    <cellStyle name="Вывод 33" xfId="1577"/>
    <cellStyle name="Вывод 34" xfId="1578"/>
    <cellStyle name="Вывод 35" xfId="1579"/>
    <cellStyle name="Вывод 36" xfId="1580"/>
    <cellStyle name="Вывод 37" xfId="1581"/>
    <cellStyle name="Вывод 38" xfId="1582"/>
    <cellStyle name="Вывод 39" xfId="1583"/>
    <cellStyle name="Вывод 4" xfId="1584"/>
    <cellStyle name="Вывод 40" xfId="1585"/>
    <cellStyle name="Вывод 41" xfId="1586"/>
    <cellStyle name="Вывод 42" xfId="1587"/>
    <cellStyle name="Вывод 43" xfId="1588"/>
    <cellStyle name="Вывод 44" xfId="1589"/>
    <cellStyle name="Вывод 45" xfId="1590"/>
    <cellStyle name="Вывод 46" xfId="1591"/>
    <cellStyle name="Вывод 47" xfId="1592"/>
    <cellStyle name="Вывод 48" xfId="1593"/>
    <cellStyle name="Вывод 49" xfId="1594"/>
    <cellStyle name="Вывод 5" xfId="1595"/>
    <cellStyle name="Вывод 50" xfId="1596"/>
    <cellStyle name="Вывод 51" xfId="1597"/>
    <cellStyle name="Вывод 52" xfId="1598"/>
    <cellStyle name="Вывод 53" xfId="1599"/>
    <cellStyle name="Вывод 54" xfId="1600"/>
    <cellStyle name="Вывод 55" xfId="1601"/>
    <cellStyle name="Вывод 56" xfId="1602"/>
    <cellStyle name="Вывод 57" xfId="1603"/>
    <cellStyle name="Вывод 58" xfId="1604"/>
    <cellStyle name="Вывод 59" xfId="1605"/>
    <cellStyle name="Вывод 6" xfId="1606"/>
    <cellStyle name="Вывод 60" xfId="1607"/>
    <cellStyle name="Вывод 61" xfId="1608"/>
    <cellStyle name="Вывод 62" xfId="1609"/>
    <cellStyle name="Вывод 63" xfId="1610"/>
    <cellStyle name="Вывод 7" xfId="1611"/>
    <cellStyle name="Вывод 8" xfId="1612"/>
    <cellStyle name="Вывод 9" xfId="1613"/>
    <cellStyle name="Вычисление 10" xfId="1614"/>
    <cellStyle name="Вычисление 11" xfId="1615"/>
    <cellStyle name="Вычисление 12" xfId="1616"/>
    <cellStyle name="Вычисление 13" xfId="1617"/>
    <cellStyle name="Вычисление 14" xfId="1618"/>
    <cellStyle name="Вычисление 15" xfId="1619"/>
    <cellStyle name="Вычисление 16" xfId="1620"/>
    <cellStyle name="Вычисление 17" xfId="1621"/>
    <cellStyle name="Вычисление 18" xfId="1622"/>
    <cellStyle name="Вычисление 19" xfId="1623"/>
    <cellStyle name="Вычисление 2" xfId="1624"/>
    <cellStyle name="Вычисление 20" xfId="1625"/>
    <cellStyle name="Вычисление 21" xfId="1626"/>
    <cellStyle name="Вычисление 22" xfId="1627"/>
    <cellStyle name="Вычисление 23" xfId="1628"/>
    <cellStyle name="Вычисление 24" xfId="1629"/>
    <cellStyle name="Вычисление 25" xfId="1630"/>
    <cellStyle name="Вычисление 26" xfId="1631"/>
    <cellStyle name="Вычисление 27" xfId="1632"/>
    <cellStyle name="Вычисление 28" xfId="1633"/>
    <cellStyle name="Вычисление 29" xfId="1634"/>
    <cellStyle name="Вычисление 3" xfId="1635"/>
    <cellStyle name="Вычисление 30" xfId="1636"/>
    <cellStyle name="Вычисление 31" xfId="1637"/>
    <cellStyle name="Вычисление 32" xfId="1638"/>
    <cellStyle name="Вычисление 33" xfId="1639"/>
    <cellStyle name="Вычисление 34" xfId="1640"/>
    <cellStyle name="Вычисление 35" xfId="1641"/>
    <cellStyle name="Вычисление 36" xfId="1642"/>
    <cellStyle name="Вычисление 37" xfId="1643"/>
    <cellStyle name="Вычисление 38" xfId="1644"/>
    <cellStyle name="Вычисление 39" xfId="1645"/>
    <cellStyle name="Вычисление 4" xfId="1646"/>
    <cellStyle name="Вычисление 40" xfId="1647"/>
    <cellStyle name="Вычисление 41" xfId="1648"/>
    <cellStyle name="Вычисление 42" xfId="1649"/>
    <cellStyle name="Вычисление 43" xfId="1650"/>
    <cellStyle name="Вычисление 44" xfId="1651"/>
    <cellStyle name="Вычисление 45" xfId="1652"/>
    <cellStyle name="Вычисление 46" xfId="1653"/>
    <cellStyle name="Вычисление 47" xfId="1654"/>
    <cellStyle name="Вычисление 48" xfId="1655"/>
    <cellStyle name="Вычисление 49" xfId="1656"/>
    <cellStyle name="Вычисление 5" xfId="1657"/>
    <cellStyle name="Вычисление 50" xfId="1658"/>
    <cellStyle name="Вычисление 51" xfId="1659"/>
    <cellStyle name="Вычисление 52" xfId="1660"/>
    <cellStyle name="Вычисление 53" xfId="1661"/>
    <cellStyle name="Вычисление 54" xfId="1662"/>
    <cellStyle name="Вычисление 55" xfId="1663"/>
    <cellStyle name="Вычисление 56" xfId="1664"/>
    <cellStyle name="Вычисление 57" xfId="1665"/>
    <cellStyle name="Вычисление 58" xfId="1666"/>
    <cellStyle name="Вычисление 59" xfId="1667"/>
    <cellStyle name="Вычисление 6" xfId="1668"/>
    <cellStyle name="Вычисление 60" xfId="1669"/>
    <cellStyle name="Вычисление 61" xfId="1670"/>
    <cellStyle name="Вычисление 62" xfId="1671"/>
    <cellStyle name="Вычисление 63" xfId="1672"/>
    <cellStyle name="Вычисление 7" xfId="1673"/>
    <cellStyle name="Вычисление 8" xfId="1674"/>
    <cellStyle name="Вычисление 9" xfId="1675"/>
    <cellStyle name="Гиперссылка 2" xfId="1676"/>
    <cellStyle name="Денежный 2" xfId="1677"/>
    <cellStyle name="Денежный 3" xfId="1678"/>
    <cellStyle name="Денежный 3 2" xfId="1679"/>
    <cellStyle name="Денежный 3 2 2" xfId="1680"/>
    <cellStyle name="Денежный 3 3" xfId="1681"/>
    <cellStyle name="Денежный 3 4" xfId="1682"/>
    <cellStyle name="Денежный 3 5" xfId="1683"/>
    <cellStyle name="Денежный 4" xfId="1684"/>
    <cellStyle name="Денежный 5" xfId="1685"/>
    <cellStyle name="Заголовок 1 10" xfId="1686"/>
    <cellStyle name="Заголовок 1 11" xfId="1687"/>
    <cellStyle name="Заголовок 1 12" xfId="1688"/>
    <cellStyle name="Заголовок 1 13" xfId="1689"/>
    <cellStyle name="Заголовок 1 14" xfId="1690"/>
    <cellStyle name="Заголовок 1 15" xfId="1691"/>
    <cellStyle name="Заголовок 1 16" xfId="1692"/>
    <cellStyle name="Заголовок 1 17" xfId="1693"/>
    <cellStyle name="Заголовок 1 18" xfId="1694"/>
    <cellStyle name="Заголовок 1 19" xfId="1695"/>
    <cellStyle name="Заголовок 1 2" xfId="1696"/>
    <cellStyle name="Заголовок 1 20" xfId="1697"/>
    <cellStyle name="Заголовок 1 21" xfId="1698"/>
    <cellStyle name="Заголовок 1 22" xfId="1699"/>
    <cellStyle name="Заголовок 1 23" xfId="1700"/>
    <cellStyle name="Заголовок 1 24" xfId="1701"/>
    <cellStyle name="Заголовок 1 25" xfId="1702"/>
    <cellStyle name="Заголовок 1 26" xfId="1703"/>
    <cellStyle name="Заголовок 1 27" xfId="1704"/>
    <cellStyle name="Заголовок 1 28" xfId="1705"/>
    <cellStyle name="Заголовок 1 29" xfId="1706"/>
    <cellStyle name="Заголовок 1 3" xfId="1707"/>
    <cellStyle name="Заголовок 1 30" xfId="1708"/>
    <cellStyle name="Заголовок 1 31" xfId="1709"/>
    <cellStyle name="Заголовок 1 32" xfId="1710"/>
    <cellStyle name="Заголовок 1 33" xfId="1711"/>
    <cellStyle name="Заголовок 1 34" xfId="1712"/>
    <cellStyle name="Заголовок 1 35" xfId="1713"/>
    <cellStyle name="Заголовок 1 36" xfId="1714"/>
    <cellStyle name="Заголовок 1 37" xfId="1715"/>
    <cellStyle name="Заголовок 1 38" xfId="1716"/>
    <cellStyle name="Заголовок 1 39" xfId="1717"/>
    <cellStyle name="Заголовок 1 4" xfId="1718"/>
    <cellStyle name="Заголовок 1 40" xfId="1719"/>
    <cellStyle name="Заголовок 1 41" xfId="1720"/>
    <cellStyle name="Заголовок 1 42" xfId="1721"/>
    <cellStyle name="Заголовок 1 43" xfId="1722"/>
    <cellStyle name="Заголовок 1 44" xfId="1723"/>
    <cellStyle name="Заголовок 1 45" xfId="1724"/>
    <cellStyle name="Заголовок 1 46" xfId="1725"/>
    <cellStyle name="Заголовок 1 47" xfId="1726"/>
    <cellStyle name="Заголовок 1 48" xfId="1727"/>
    <cellStyle name="Заголовок 1 49" xfId="1728"/>
    <cellStyle name="Заголовок 1 5" xfId="1729"/>
    <cellStyle name="Заголовок 1 50" xfId="1730"/>
    <cellStyle name="Заголовок 1 51" xfId="1731"/>
    <cellStyle name="Заголовок 1 52" xfId="1732"/>
    <cellStyle name="Заголовок 1 53" xfId="1733"/>
    <cellStyle name="Заголовок 1 54" xfId="1734"/>
    <cellStyle name="Заголовок 1 55" xfId="1735"/>
    <cellStyle name="Заголовок 1 56" xfId="1736"/>
    <cellStyle name="Заголовок 1 57" xfId="1737"/>
    <cellStyle name="Заголовок 1 58" xfId="1738"/>
    <cellStyle name="Заголовок 1 59" xfId="1739"/>
    <cellStyle name="Заголовок 1 6" xfId="1740"/>
    <cellStyle name="Заголовок 1 60" xfId="1741"/>
    <cellStyle name="Заголовок 1 61" xfId="1742"/>
    <cellStyle name="Заголовок 1 62" xfId="1743"/>
    <cellStyle name="Заголовок 1 63" xfId="1744"/>
    <cellStyle name="Заголовок 1 7" xfId="1745"/>
    <cellStyle name="Заголовок 1 8" xfId="1746"/>
    <cellStyle name="Заголовок 1 9" xfId="1747"/>
    <cellStyle name="Заголовок 2 10" xfId="1748"/>
    <cellStyle name="Заголовок 2 11" xfId="1749"/>
    <cellStyle name="Заголовок 2 12" xfId="1750"/>
    <cellStyle name="Заголовок 2 13" xfId="1751"/>
    <cellStyle name="Заголовок 2 14" xfId="1752"/>
    <cellStyle name="Заголовок 2 15" xfId="1753"/>
    <cellStyle name="Заголовок 2 16" xfId="1754"/>
    <cellStyle name="Заголовок 2 17" xfId="1755"/>
    <cellStyle name="Заголовок 2 18" xfId="1756"/>
    <cellStyle name="Заголовок 2 19" xfId="1757"/>
    <cellStyle name="Заголовок 2 2" xfId="1758"/>
    <cellStyle name="Заголовок 2 20" xfId="1759"/>
    <cellStyle name="Заголовок 2 21" xfId="1760"/>
    <cellStyle name="Заголовок 2 22" xfId="1761"/>
    <cellStyle name="Заголовок 2 23" xfId="1762"/>
    <cellStyle name="Заголовок 2 24" xfId="1763"/>
    <cellStyle name="Заголовок 2 25" xfId="1764"/>
    <cellStyle name="Заголовок 2 26" xfId="1765"/>
    <cellStyle name="Заголовок 2 27" xfId="1766"/>
    <cellStyle name="Заголовок 2 28" xfId="1767"/>
    <cellStyle name="Заголовок 2 29" xfId="1768"/>
    <cellStyle name="Заголовок 2 3" xfId="1769"/>
    <cellStyle name="Заголовок 2 30" xfId="1770"/>
    <cellStyle name="Заголовок 2 31" xfId="1771"/>
    <cellStyle name="Заголовок 2 32" xfId="1772"/>
    <cellStyle name="Заголовок 2 33" xfId="1773"/>
    <cellStyle name="Заголовок 2 34" xfId="1774"/>
    <cellStyle name="Заголовок 2 35" xfId="1775"/>
    <cellStyle name="Заголовок 2 36" xfId="1776"/>
    <cellStyle name="Заголовок 2 37" xfId="1777"/>
    <cellStyle name="Заголовок 2 38" xfId="1778"/>
    <cellStyle name="Заголовок 2 39" xfId="1779"/>
    <cellStyle name="Заголовок 2 4" xfId="1780"/>
    <cellStyle name="Заголовок 2 40" xfId="1781"/>
    <cellStyle name="Заголовок 2 41" xfId="1782"/>
    <cellStyle name="Заголовок 2 42" xfId="1783"/>
    <cellStyle name="Заголовок 2 43" xfId="1784"/>
    <cellStyle name="Заголовок 2 44" xfId="1785"/>
    <cellStyle name="Заголовок 2 45" xfId="1786"/>
    <cellStyle name="Заголовок 2 46" xfId="1787"/>
    <cellStyle name="Заголовок 2 47" xfId="1788"/>
    <cellStyle name="Заголовок 2 48" xfId="1789"/>
    <cellStyle name="Заголовок 2 49" xfId="1790"/>
    <cellStyle name="Заголовок 2 5" xfId="1791"/>
    <cellStyle name="Заголовок 2 50" xfId="1792"/>
    <cellStyle name="Заголовок 2 51" xfId="1793"/>
    <cellStyle name="Заголовок 2 52" xfId="1794"/>
    <cellStyle name="Заголовок 2 53" xfId="1795"/>
    <cellStyle name="Заголовок 2 54" xfId="1796"/>
    <cellStyle name="Заголовок 2 55" xfId="1797"/>
    <cellStyle name="Заголовок 2 56" xfId="1798"/>
    <cellStyle name="Заголовок 2 57" xfId="1799"/>
    <cellStyle name="Заголовок 2 58" xfId="1800"/>
    <cellStyle name="Заголовок 2 59" xfId="1801"/>
    <cellStyle name="Заголовок 2 6" xfId="1802"/>
    <cellStyle name="Заголовок 2 60" xfId="1803"/>
    <cellStyle name="Заголовок 2 61" xfId="1804"/>
    <cellStyle name="Заголовок 2 62" xfId="1805"/>
    <cellStyle name="Заголовок 2 63" xfId="1806"/>
    <cellStyle name="Заголовок 2 7" xfId="1807"/>
    <cellStyle name="Заголовок 2 8" xfId="1808"/>
    <cellStyle name="Заголовок 2 9" xfId="1809"/>
    <cellStyle name="Заголовок 3 10" xfId="1810"/>
    <cellStyle name="Заголовок 3 11" xfId="1811"/>
    <cellStyle name="Заголовок 3 12" xfId="1812"/>
    <cellStyle name="Заголовок 3 13" xfId="1813"/>
    <cellStyle name="Заголовок 3 14" xfId="1814"/>
    <cellStyle name="Заголовок 3 15" xfId="1815"/>
    <cellStyle name="Заголовок 3 16" xfId="1816"/>
    <cellStyle name="Заголовок 3 17" xfId="1817"/>
    <cellStyle name="Заголовок 3 18" xfId="1818"/>
    <cellStyle name="Заголовок 3 19" xfId="1819"/>
    <cellStyle name="Заголовок 3 2" xfId="1820"/>
    <cellStyle name="Заголовок 3 20" xfId="1821"/>
    <cellStyle name="Заголовок 3 21" xfId="1822"/>
    <cellStyle name="Заголовок 3 22" xfId="1823"/>
    <cellStyle name="Заголовок 3 23" xfId="1824"/>
    <cellStyle name="Заголовок 3 24" xfId="1825"/>
    <cellStyle name="Заголовок 3 25" xfId="1826"/>
    <cellStyle name="Заголовок 3 26" xfId="1827"/>
    <cellStyle name="Заголовок 3 27" xfId="1828"/>
    <cellStyle name="Заголовок 3 28" xfId="1829"/>
    <cellStyle name="Заголовок 3 29" xfId="1830"/>
    <cellStyle name="Заголовок 3 3" xfId="1831"/>
    <cellStyle name="Заголовок 3 30" xfId="1832"/>
    <cellStyle name="Заголовок 3 31" xfId="1833"/>
    <cellStyle name="Заголовок 3 32" xfId="1834"/>
    <cellStyle name="Заголовок 3 33" xfId="1835"/>
    <cellStyle name="Заголовок 3 34" xfId="1836"/>
    <cellStyle name="Заголовок 3 35" xfId="1837"/>
    <cellStyle name="Заголовок 3 36" xfId="1838"/>
    <cellStyle name="Заголовок 3 37" xfId="1839"/>
    <cellStyle name="Заголовок 3 38" xfId="1840"/>
    <cellStyle name="Заголовок 3 39" xfId="1841"/>
    <cellStyle name="Заголовок 3 4" xfId="1842"/>
    <cellStyle name="Заголовок 3 40" xfId="1843"/>
    <cellStyle name="Заголовок 3 41" xfId="1844"/>
    <cellStyle name="Заголовок 3 42" xfId="1845"/>
    <cellStyle name="Заголовок 3 43" xfId="1846"/>
    <cellStyle name="Заголовок 3 44" xfId="1847"/>
    <cellStyle name="Заголовок 3 45" xfId="1848"/>
    <cellStyle name="Заголовок 3 46" xfId="1849"/>
    <cellStyle name="Заголовок 3 47" xfId="1850"/>
    <cellStyle name="Заголовок 3 48" xfId="1851"/>
    <cellStyle name="Заголовок 3 49" xfId="1852"/>
    <cellStyle name="Заголовок 3 5" xfId="1853"/>
    <cellStyle name="Заголовок 3 50" xfId="1854"/>
    <cellStyle name="Заголовок 3 51" xfId="1855"/>
    <cellStyle name="Заголовок 3 52" xfId="1856"/>
    <cellStyle name="Заголовок 3 53" xfId="1857"/>
    <cellStyle name="Заголовок 3 54" xfId="1858"/>
    <cellStyle name="Заголовок 3 55" xfId="1859"/>
    <cellStyle name="Заголовок 3 56" xfId="1860"/>
    <cellStyle name="Заголовок 3 57" xfId="1861"/>
    <cellStyle name="Заголовок 3 58" xfId="1862"/>
    <cellStyle name="Заголовок 3 59" xfId="1863"/>
    <cellStyle name="Заголовок 3 6" xfId="1864"/>
    <cellStyle name="Заголовок 3 60" xfId="1865"/>
    <cellStyle name="Заголовок 3 61" xfId="1866"/>
    <cellStyle name="Заголовок 3 62" xfId="1867"/>
    <cellStyle name="Заголовок 3 63" xfId="1868"/>
    <cellStyle name="Заголовок 3 7" xfId="1869"/>
    <cellStyle name="Заголовок 3 8" xfId="1870"/>
    <cellStyle name="Заголовок 3 9" xfId="1871"/>
    <cellStyle name="Заголовок 4 10" xfId="1872"/>
    <cellStyle name="Заголовок 4 11" xfId="1873"/>
    <cellStyle name="Заголовок 4 12" xfId="1874"/>
    <cellStyle name="Заголовок 4 13" xfId="1875"/>
    <cellStyle name="Заголовок 4 14" xfId="1876"/>
    <cellStyle name="Заголовок 4 15" xfId="1877"/>
    <cellStyle name="Заголовок 4 16" xfId="1878"/>
    <cellStyle name="Заголовок 4 17" xfId="1879"/>
    <cellStyle name="Заголовок 4 18" xfId="1880"/>
    <cellStyle name="Заголовок 4 19" xfId="1881"/>
    <cellStyle name="Заголовок 4 2" xfId="1882"/>
    <cellStyle name="Заголовок 4 20" xfId="1883"/>
    <cellStyle name="Заголовок 4 21" xfId="1884"/>
    <cellStyle name="Заголовок 4 22" xfId="1885"/>
    <cellStyle name="Заголовок 4 23" xfId="1886"/>
    <cellStyle name="Заголовок 4 24" xfId="1887"/>
    <cellStyle name="Заголовок 4 25" xfId="1888"/>
    <cellStyle name="Заголовок 4 26" xfId="1889"/>
    <cellStyle name="Заголовок 4 27" xfId="1890"/>
    <cellStyle name="Заголовок 4 28" xfId="1891"/>
    <cellStyle name="Заголовок 4 29" xfId="1892"/>
    <cellStyle name="Заголовок 4 3" xfId="1893"/>
    <cellStyle name="Заголовок 4 30" xfId="1894"/>
    <cellStyle name="Заголовок 4 31" xfId="1895"/>
    <cellStyle name="Заголовок 4 32" xfId="1896"/>
    <cellStyle name="Заголовок 4 33" xfId="1897"/>
    <cellStyle name="Заголовок 4 34" xfId="1898"/>
    <cellStyle name="Заголовок 4 35" xfId="1899"/>
    <cellStyle name="Заголовок 4 36" xfId="1900"/>
    <cellStyle name="Заголовок 4 37" xfId="1901"/>
    <cellStyle name="Заголовок 4 38" xfId="1902"/>
    <cellStyle name="Заголовок 4 39" xfId="1903"/>
    <cellStyle name="Заголовок 4 4" xfId="1904"/>
    <cellStyle name="Заголовок 4 40" xfId="1905"/>
    <cellStyle name="Заголовок 4 41" xfId="1906"/>
    <cellStyle name="Заголовок 4 42" xfId="1907"/>
    <cellStyle name="Заголовок 4 43" xfId="1908"/>
    <cellStyle name="Заголовок 4 44" xfId="1909"/>
    <cellStyle name="Заголовок 4 45" xfId="1910"/>
    <cellStyle name="Заголовок 4 46" xfId="1911"/>
    <cellStyle name="Заголовок 4 47" xfId="1912"/>
    <cellStyle name="Заголовок 4 48" xfId="1913"/>
    <cellStyle name="Заголовок 4 49" xfId="1914"/>
    <cellStyle name="Заголовок 4 5" xfId="1915"/>
    <cellStyle name="Заголовок 4 50" xfId="1916"/>
    <cellStyle name="Заголовок 4 51" xfId="1917"/>
    <cellStyle name="Заголовок 4 52" xfId="1918"/>
    <cellStyle name="Заголовок 4 53" xfId="1919"/>
    <cellStyle name="Заголовок 4 54" xfId="1920"/>
    <cellStyle name="Заголовок 4 55" xfId="1921"/>
    <cellStyle name="Заголовок 4 56" xfId="1922"/>
    <cellStyle name="Заголовок 4 57" xfId="1923"/>
    <cellStyle name="Заголовок 4 58" xfId="1924"/>
    <cellStyle name="Заголовок 4 59" xfId="1925"/>
    <cellStyle name="Заголовок 4 6" xfId="1926"/>
    <cellStyle name="Заголовок 4 60" xfId="1927"/>
    <cellStyle name="Заголовок 4 61" xfId="1928"/>
    <cellStyle name="Заголовок 4 62" xfId="1929"/>
    <cellStyle name="Заголовок 4 63" xfId="1930"/>
    <cellStyle name="Заголовок 4 7" xfId="1931"/>
    <cellStyle name="Заголовок 4 8" xfId="1932"/>
    <cellStyle name="Заголовок 4 9" xfId="1933"/>
    <cellStyle name="Итог 10" xfId="1934"/>
    <cellStyle name="Итог 11" xfId="1935"/>
    <cellStyle name="Итог 12" xfId="1936"/>
    <cellStyle name="Итог 13" xfId="1937"/>
    <cellStyle name="Итог 14" xfId="1938"/>
    <cellStyle name="Итог 15" xfId="1939"/>
    <cellStyle name="Итог 16" xfId="1940"/>
    <cellStyle name="Итог 17" xfId="1941"/>
    <cellStyle name="Итог 18" xfId="1942"/>
    <cellStyle name="Итог 19" xfId="1943"/>
    <cellStyle name="Итог 2" xfId="1944"/>
    <cellStyle name="Итог 20" xfId="1945"/>
    <cellStyle name="Итог 21" xfId="1946"/>
    <cellStyle name="Итог 22" xfId="1947"/>
    <cellStyle name="Итог 23" xfId="1948"/>
    <cellStyle name="Итог 24" xfId="1949"/>
    <cellStyle name="Итог 25" xfId="1950"/>
    <cellStyle name="Итог 26" xfId="1951"/>
    <cellStyle name="Итог 27" xfId="1952"/>
    <cellStyle name="Итог 28" xfId="1953"/>
    <cellStyle name="Итог 29" xfId="1954"/>
    <cellStyle name="Итог 3" xfId="1955"/>
    <cellStyle name="Итог 30" xfId="1956"/>
    <cellStyle name="Итог 31" xfId="1957"/>
    <cellStyle name="Итог 32" xfId="1958"/>
    <cellStyle name="Итог 33" xfId="1959"/>
    <cellStyle name="Итог 34" xfId="1960"/>
    <cellStyle name="Итог 35" xfId="1961"/>
    <cellStyle name="Итог 36" xfId="1962"/>
    <cellStyle name="Итог 37" xfId="1963"/>
    <cellStyle name="Итог 38" xfId="1964"/>
    <cellStyle name="Итог 39" xfId="1965"/>
    <cellStyle name="Итог 4" xfId="1966"/>
    <cellStyle name="Итог 40" xfId="1967"/>
    <cellStyle name="Итог 41" xfId="1968"/>
    <cellStyle name="Итог 42" xfId="1969"/>
    <cellStyle name="Итог 43" xfId="1970"/>
    <cellStyle name="Итог 44" xfId="1971"/>
    <cellStyle name="Итог 45" xfId="1972"/>
    <cellStyle name="Итог 46" xfId="1973"/>
    <cellStyle name="Итог 47" xfId="1974"/>
    <cellStyle name="Итог 48" xfId="1975"/>
    <cellStyle name="Итог 49" xfId="1976"/>
    <cellStyle name="Итог 5" xfId="1977"/>
    <cellStyle name="Итог 50" xfId="1978"/>
    <cellStyle name="Итог 51" xfId="1979"/>
    <cellStyle name="Итог 52" xfId="1980"/>
    <cellStyle name="Итог 53" xfId="1981"/>
    <cellStyle name="Итог 54" xfId="1982"/>
    <cellStyle name="Итог 55" xfId="1983"/>
    <cellStyle name="Итог 56" xfId="1984"/>
    <cellStyle name="Итог 57" xfId="1985"/>
    <cellStyle name="Итог 58" xfId="1986"/>
    <cellStyle name="Итог 59" xfId="1987"/>
    <cellStyle name="Итог 6" xfId="1988"/>
    <cellStyle name="Итог 60" xfId="1989"/>
    <cellStyle name="Итог 61" xfId="1990"/>
    <cellStyle name="Итог 62" xfId="1991"/>
    <cellStyle name="Итог 63" xfId="1992"/>
    <cellStyle name="Итог 7" xfId="1993"/>
    <cellStyle name="Итог 8" xfId="1994"/>
    <cellStyle name="Итог 9" xfId="1995"/>
    <cellStyle name="Контрольная ячейка 10" xfId="1996"/>
    <cellStyle name="Контрольная ячейка 11" xfId="1997"/>
    <cellStyle name="Контрольная ячейка 12" xfId="1998"/>
    <cellStyle name="Контрольная ячейка 13" xfId="1999"/>
    <cellStyle name="Контрольная ячейка 14" xfId="2000"/>
    <cellStyle name="Контрольная ячейка 15" xfId="2001"/>
    <cellStyle name="Контрольная ячейка 16" xfId="2002"/>
    <cellStyle name="Контрольная ячейка 17" xfId="2003"/>
    <cellStyle name="Контрольная ячейка 18" xfId="2004"/>
    <cellStyle name="Контрольная ячейка 19" xfId="2005"/>
    <cellStyle name="Контрольная ячейка 2" xfId="2006"/>
    <cellStyle name="Контрольная ячейка 20" xfId="2007"/>
    <cellStyle name="Контрольная ячейка 21" xfId="2008"/>
    <cellStyle name="Контрольная ячейка 22" xfId="2009"/>
    <cellStyle name="Контрольная ячейка 23" xfId="2010"/>
    <cellStyle name="Контрольная ячейка 24" xfId="2011"/>
    <cellStyle name="Контрольная ячейка 25" xfId="2012"/>
    <cellStyle name="Контрольная ячейка 26" xfId="2013"/>
    <cellStyle name="Контрольная ячейка 27" xfId="2014"/>
    <cellStyle name="Контрольная ячейка 28" xfId="2015"/>
    <cellStyle name="Контрольная ячейка 29" xfId="2016"/>
    <cellStyle name="Контрольная ячейка 3" xfId="2017"/>
    <cellStyle name="Контрольная ячейка 30" xfId="2018"/>
    <cellStyle name="Контрольная ячейка 31" xfId="2019"/>
    <cellStyle name="Контрольная ячейка 32" xfId="2020"/>
    <cellStyle name="Контрольная ячейка 33" xfId="2021"/>
    <cellStyle name="Контрольная ячейка 34" xfId="2022"/>
    <cellStyle name="Контрольная ячейка 35" xfId="2023"/>
    <cellStyle name="Контрольная ячейка 36" xfId="2024"/>
    <cellStyle name="Контрольная ячейка 37" xfId="2025"/>
    <cellStyle name="Контрольная ячейка 38" xfId="2026"/>
    <cellStyle name="Контрольная ячейка 39" xfId="2027"/>
    <cellStyle name="Контрольная ячейка 4" xfId="2028"/>
    <cellStyle name="Контрольная ячейка 40" xfId="2029"/>
    <cellStyle name="Контрольная ячейка 41" xfId="2030"/>
    <cellStyle name="Контрольная ячейка 42" xfId="2031"/>
    <cellStyle name="Контрольная ячейка 43" xfId="2032"/>
    <cellStyle name="Контрольная ячейка 44" xfId="2033"/>
    <cellStyle name="Контрольная ячейка 45" xfId="2034"/>
    <cellStyle name="Контрольная ячейка 46" xfId="2035"/>
    <cellStyle name="Контрольная ячейка 47" xfId="2036"/>
    <cellStyle name="Контрольная ячейка 48" xfId="2037"/>
    <cellStyle name="Контрольная ячейка 49" xfId="2038"/>
    <cellStyle name="Контрольная ячейка 5" xfId="2039"/>
    <cellStyle name="Контрольная ячейка 50" xfId="2040"/>
    <cellStyle name="Контрольная ячейка 51" xfId="2041"/>
    <cellStyle name="Контрольная ячейка 52" xfId="2042"/>
    <cellStyle name="Контрольная ячейка 53" xfId="2043"/>
    <cellStyle name="Контрольная ячейка 54" xfId="2044"/>
    <cellStyle name="Контрольная ячейка 55" xfId="2045"/>
    <cellStyle name="Контрольная ячейка 56" xfId="2046"/>
    <cellStyle name="Контрольная ячейка 57" xfId="2047"/>
    <cellStyle name="Контрольная ячейка 58" xfId="2048"/>
    <cellStyle name="Контрольная ячейка 59" xfId="2049"/>
    <cellStyle name="Контрольная ячейка 6" xfId="2050"/>
    <cellStyle name="Контрольная ячейка 60" xfId="2051"/>
    <cellStyle name="Контрольная ячейка 61" xfId="2052"/>
    <cellStyle name="Контрольная ячейка 62" xfId="2053"/>
    <cellStyle name="Контрольная ячейка 63" xfId="2054"/>
    <cellStyle name="Контрольная ячейка 7" xfId="2055"/>
    <cellStyle name="Контрольная ячейка 8" xfId="2056"/>
    <cellStyle name="Контрольная ячейка 9" xfId="2057"/>
    <cellStyle name="Название 10" xfId="2058"/>
    <cellStyle name="Название 11" xfId="2059"/>
    <cellStyle name="Название 12" xfId="2060"/>
    <cellStyle name="Название 13" xfId="2061"/>
    <cellStyle name="Название 14" xfId="2062"/>
    <cellStyle name="Название 15" xfId="2063"/>
    <cellStyle name="Название 16" xfId="2064"/>
    <cellStyle name="Название 17" xfId="2065"/>
    <cellStyle name="Название 18" xfId="2066"/>
    <cellStyle name="Название 19" xfId="2067"/>
    <cellStyle name="Название 2" xfId="2068"/>
    <cellStyle name="Название 20" xfId="2069"/>
    <cellStyle name="Название 21" xfId="2070"/>
    <cellStyle name="Название 22" xfId="2071"/>
    <cellStyle name="Название 23" xfId="2072"/>
    <cellStyle name="Название 24" xfId="2073"/>
    <cellStyle name="Название 25" xfId="2074"/>
    <cellStyle name="Название 26" xfId="2075"/>
    <cellStyle name="Название 27" xfId="2076"/>
    <cellStyle name="Название 28" xfId="2077"/>
    <cellStyle name="Название 29" xfId="2078"/>
    <cellStyle name="Название 3" xfId="2079"/>
    <cellStyle name="Название 30" xfId="2080"/>
    <cellStyle name="Название 31" xfId="2081"/>
    <cellStyle name="Название 32" xfId="2082"/>
    <cellStyle name="Название 33" xfId="2083"/>
    <cellStyle name="Название 34" xfId="2084"/>
    <cellStyle name="Название 35" xfId="2085"/>
    <cellStyle name="Название 36" xfId="2086"/>
    <cellStyle name="Название 37" xfId="2087"/>
    <cellStyle name="Название 38" xfId="2088"/>
    <cellStyle name="Название 39" xfId="2089"/>
    <cellStyle name="Название 4" xfId="2090"/>
    <cellStyle name="Название 40" xfId="2091"/>
    <cellStyle name="Название 41" xfId="2092"/>
    <cellStyle name="Название 42" xfId="2093"/>
    <cellStyle name="Название 43" xfId="2094"/>
    <cellStyle name="Название 44" xfId="2095"/>
    <cellStyle name="Название 45" xfId="2096"/>
    <cellStyle name="Название 46" xfId="2097"/>
    <cellStyle name="Название 47" xfId="2098"/>
    <cellStyle name="Название 48" xfId="2099"/>
    <cellStyle name="Название 49" xfId="2100"/>
    <cellStyle name="Название 5" xfId="2101"/>
    <cellStyle name="Название 50" xfId="2102"/>
    <cellStyle name="Название 51" xfId="2103"/>
    <cellStyle name="Название 52" xfId="2104"/>
    <cellStyle name="Название 53" xfId="2105"/>
    <cellStyle name="Название 54" xfId="2106"/>
    <cellStyle name="Название 55" xfId="2107"/>
    <cellStyle name="Название 56" xfId="2108"/>
    <cellStyle name="Название 57" xfId="2109"/>
    <cellStyle name="Название 58" xfId="2110"/>
    <cellStyle name="Название 59" xfId="2111"/>
    <cellStyle name="Название 6" xfId="2112"/>
    <cellStyle name="Название 60" xfId="2113"/>
    <cellStyle name="Название 61" xfId="2114"/>
    <cellStyle name="Название 62" xfId="2115"/>
    <cellStyle name="Название 63" xfId="2116"/>
    <cellStyle name="Название 7" xfId="2117"/>
    <cellStyle name="Название 8" xfId="2118"/>
    <cellStyle name="Название 9" xfId="2119"/>
    <cellStyle name="Нейтральный 10" xfId="2120"/>
    <cellStyle name="Нейтральный 11" xfId="2121"/>
    <cellStyle name="Нейтральный 12" xfId="2122"/>
    <cellStyle name="Нейтральный 13" xfId="2123"/>
    <cellStyle name="Нейтральный 14" xfId="2124"/>
    <cellStyle name="Нейтральный 15" xfId="2125"/>
    <cellStyle name="Нейтральный 16" xfId="2126"/>
    <cellStyle name="Нейтральный 17" xfId="2127"/>
    <cellStyle name="Нейтральный 18" xfId="2128"/>
    <cellStyle name="Нейтральный 19" xfId="2129"/>
    <cellStyle name="Нейтральный 2" xfId="2130"/>
    <cellStyle name="Нейтральный 20" xfId="2131"/>
    <cellStyle name="Нейтральный 21" xfId="2132"/>
    <cellStyle name="Нейтральный 22" xfId="2133"/>
    <cellStyle name="Нейтральный 23" xfId="2134"/>
    <cellStyle name="Нейтральный 24" xfId="2135"/>
    <cellStyle name="Нейтральный 25" xfId="2136"/>
    <cellStyle name="Нейтральный 26" xfId="2137"/>
    <cellStyle name="Нейтральный 27" xfId="2138"/>
    <cellStyle name="Нейтральный 28" xfId="2139"/>
    <cellStyle name="Нейтральный 29" xfId="2140"/>
    <cellStyle name="Нейтральный 3" xfId="2141"/>
    <cellStyle name="Нейтральный 30" xfId="2142"/>
    <cellStyle name="Нейтральный 31" xfId="2143"/>
    <cellStyle name="Нейтральный 32" xfId="2144"/>
    <cellStyle name="Нейтральный 33" xfId="2145"/>
    <cellStyle name="Нейтральный 34" xfId="2146"/>
    <cellStyle name="Нейтральный 35" xfId="2147"/>
    <cellStyle name="Нейтральный 36" xfId="2148"/>
    <cellStyle name="Нейтральный 37" xfId="2149"/>
    <cellStyle name="Нейтральный 38" xfId="2150"/>
    <cellStyle name="Нейтральный 39" xfId="2151"/>
    <cellStyle name="Нейтральный 4" xfId="2152"/>
    <cellStyle name="Нейтральный 40" xfId="2153"/>
    <cellStyle name="Нейтральный 41" xfId="2154"/>
    <cellStyle name="Нейтральный 42" xfId="2155"/>
    <cellStyle name="Нейтральный 43" xfId="2156"/>
    <cellStyle name="Нейтральный 44" xfId="2157"/>
    <cellStyle name="Нейтральный 45" xfId="2158"/>
    <cellStyle name="Нейтральный 46" xfId="2159"/>
    <cellStyle name="Нейтральный 47" xfId="2160"/>
    <cellStyle name="Нейтральный 48" xfId="2161"/>
    <cellStyle name="Нейтральный 49" xfId="2162"/>
    <cellStyle name="Нейтральный 5" xfId="2163"/>
    <cellStyle name="Нейтральный 50" xfId="2164"/>
    <cellStyle name="Нейтральный 51" xfId="2165"/>
    <cellStyle name="Нейтральный 52" xfId="2166"/>
    <cellStyle name="Нейтральный 53" xfId="2167"/>
    <cellStyle name="Нейтральный 54" xfId="2168"/>
    <cellStyle name="Нейтральный 55" xfId="2169"/>
    <cellStyle name="Нейтральный 56" xfId="2170"/>
    <cellStyle name="Нейтральный 57" xfId="2171"/>
    <cellStyle name="Нейтральный 58" xfId="2172"/>
    <cellStyle name="Нейтральный 59" xfId="2173"/>
    <cellStyle name="Нейтральный 6" xfId="2174"/>
    <cellStyle name="Нейтральный 60" xfId="2175"/>
    <cellStyle name="Нейтральный 61" xfId="2176"/>
    <cellStyle name="Нейтральный 62" xfId="2177"/>
    <cellStyle name="Нейтральный 63" xfId="2178"/>
    <cellStyle name="Нейтральный 7" xfId="2179"/>
    <cellStyle name="Нейтральный 8" xfId="2180"/>
    <cellStyle name="Нейтральный 9" xfId="2181"/>
    <cellStyle name="Обычный" xfId="0" builtinId="0"/>
    <cellStyle name="Обычный 10" xfId="2182"/>
    <cellStyle name="Обычный 11" xfId="2183"/>
    <cellStyle name="Обычный 11 2" xfId="2184"/>
    <cellStyle name="Обычный 11 3" xfId="2185"/>
    <cellStyle name="Обычный 11 3 2" xfId="2186"/>
    <cellStyle name="Обычный 11 3 2 2" xfId="2187"/>
    <cellStyle name="Обычный 11 3 3" xfId="2188"/>
    <cellStyle name="Обычный 11 4" xfId="2189"/>
    <cellStyle name="Обычный 11 5" xfId="2190"/>
    <cellStyle name="Обычный 11 6" xfId="2191"/>
    <cellStyle name="Обычный 12" xfId="2192"/>
    <cellStyle name="Обычный 12 2" xfId="2193"/>
    <cellStyle name="Обычный 12 2 2" xfId="2194"/>
    <cellStyle name="Обычный 12 2 2 2" xfId="2195"/>
    <cellStyle name="Обычный 12 2 2 2 2" xfId="2196"/>
    <cellStyle name="Обычный 12 2 2 2 2 2" xfId="2197"/>
    <cellStyle name="Обычный 12 2 2 2 3" xfId="2198"/>
    <cellStyle name="Обычный 12 2 2 2 3 2" xfId="2199"/>
    <cellStyle name="Обычный 12 2 2 2 4" xfId="2200"/>
    <cellStyle name="Обычный 12 2 2 2 5" xfId="2201"/>
    <cellStyle name="Обычный 12 2 2 3" xfId="2202"/>
    <cellStyle name="Обычный 12 2 2 3 2" xfId="2203"/>
    <cellStyle name="Обычный 12 2 2 4" xfId="2204"/>
    <cellStyle name="Обычный 12 2 2 4 2" xfId="2205"/>
    <cellStyle name="Обычный 12 2 2 5" xfId="2206"/>
    <cellStyle name="Обычный 12 2 2 6" xfId="2207"/>
    <cellStyle name="Обычный 12 2 2 7" xfId="2208"/>
    <cellStyle name="Обычный 12 2 3" xfId="2209"/>
    <cellStyle name="Обычный 12 2 3 2" xfId="2210"/>
    <cellStyle name="Обычный 12 2 3 2 2" xfId="2211"/>
    <cellStyle name="Обычный 12 2 3 3" xfId="2212"/>
    <cellStyle name="Обычный 12 2 3 3 2" xfId="2213"/>
    <cellStyle name="Обычный 12 2 3 4" xfId="2214"/>
    <cellStyle name="Обычный 12 2 3 5" xfId="2215"/>
    <cellStyle name="Обычный 12 2 4" xfId="2216"/>
    <cellStyle name="Обычный 12 2 4 2" xfId="2217"/>
    <cellStyle name="Обычный 12 2 5" xfId="2218"/>
    <cellStyle name="Обычный 12 2 5 2" xfId="2219"/>
    <cellStyle name="Обычный 12 2 6" xfId="2220"/>
    <cellStyle name="Обычный 12 2 7" xfId="2221"/>
    <cellStyle name="Обычный 12 2 8" xfId="2222"/>
    <cellStyle name="Обычный 12 2_51,50_1 кв_общий" xfId="2223"/>
    <cellStyle name="Обычный 12 3" xfId="2224"/>
    <cellStyle name="Обычный 12 3 2" xfId="2225"/>
    <cellStyle name="Обычный 12 3 2 2" xfId="2226"/>
    <cellStyle name="Обычный 12 3 2 2 2" xfId="2227"/>
    <cellStyle name="Обычный 12 3 2 3" xfId="2228"/>
    <cellStyle name="Обычный 12 3 2 3 2" xfId="2229"/>
    <cellStyle name="Обычный 12 3 2 4" xfId="2230"/>
    <cellStyle name="Обычный 12 3 2 5" xfId="2231"/>
    <cellStyle name="Обычный 12 3 3" xfId="2232"/>
    <cellStyle name="Обычный 12 3 3 2" xfId="2233"/>
    <cellStyle name="Обычный 12 3 4" xfId="2234"/>
    <cellStyle name="Обычный 12 3 4 2" xfId="2235"/>
    <cellStyle name="Обычный 12 3 5" xfId="2236"/>
    <cellStyle name="Обычный 12 3 6" xfId="2237"/>
    <cellStyle name="Обычный 12 4" xfId="2238"/>
    <cellStyle name="Обычный 12 4 2" xfId="2239"/>
    <cellStyle name="Обычный 12 4 2 2" xfId="2240"/>
    <cellStyle name="Обычный 12 4 2 2 2" xfId="2241"/>
    <cellStyle name="Обычный 12 4 2 3" xfId="2242"/>
    <cellStyle name="Обычный 12 4 2 3 2" xfId="2243"/>
    <cellStyle name="Обычный 12 4 2 4" xfId="2244"/>
    <cellStyle name="Обычный 12 4 2 5" xfId="2245"/>
    <cellStyle name="Обычный 12 4 3" xfId="2246"/>
    <cellStyle name="Обычный 12 4 3 2" xfId="2247"/>
    <cellStyle name="Обычный 12 4 4" xfId="2248"/>
    <cellStyle name="Обычный 12 4 4 2" xfId="2249"/>
    <cellStyle name="Обычный 12 4 5" xfId="2250"/>
    <cellStyle name="Обычный 12 4 6" xfId="2251"/>
    <cellStyle name="Обычный 12 5" xfId="2252"/>
    <cellStyle name="Обычный 12 5 2" xfId="2253"/>
    <cellStyle name="Обычный 12 5 2 2" xfId="2254"/>
    <cellStyle name="Обычный 12 5 3" xfId="2255"/>
    <cellStyle name="Обычный 12 5 3 2" xfId="2256"/>
    <cellStyle name="Обычный 12 5 4" xfId="2257"/>
    <cellStyle name="Обычный 12 5 5" xfId="2258"/>
    <cellStyle name="Обычный 12 6" xfId="2259"/>
    <cellStyle name="Обычный 12 6 2" xfId="2260"/>
    <cellStyle name="Обычный 12 7" xfId="2261"/>
    <cellStyle name="Обычный 12 7 2" xfId="2262"/>
    <cellStyle name="Обычный 12 8" xfId="2263"/>
    <cellStyle name="Обычный 12 9" xfId="2264"/>
    <cellStyle name="Обычный 12_51,50_1 кв_общий" xfId="2265"/>
    <cellStyle name="Обычный 13" xfId="2266"/>
    <cellStyle name="Обычный 13 2" xfId="2267"/>
    <cellStyle name="Обычный 13 3" xfId="2268"/>
    <cellStyle name="Обычный 13 3 2" xfId="2269"/>
    <cellStyle name="Обычный 13 3 2 2" xfId="2270"/>
    <cellStyle name="Обычный 13 3 3" xfId="2271"/>
    <cellStyle name="Обычный 13 4" xfId="2272"/>
    <cellStyle name="Обычный 13 5" xfId="2273"/>
    <cellStyle name="Обычный 13 6" xfId="2274"/>
    <cellStyle name="Обычный 14" xfId="2275"/>
    <cellStyle name="Обычный 14 2" xfId="2276"/>
    <cellStyle name="Обычный 14 2 2" xfId="2277"/>
    <cellStyle name="Обычный 14 2 2 2" xfId="2278"/>
    <cellStyle name="Обычный 14 2 2 2 2" xfId="2279"/>
    <cellStyle name="Обычный 14 2 2 3" xfId="2280"/>
    <cellStyle name="Обычный 14 2 2 3 2" xfId="2281"/>
    <cellStyle name="Обычный 14 2 2 4" xfId="2282"/>
    <cellStyle name="Обычный 14 2 2 5" xfId="2283"/>
    <cellStyle name="Обычный 14 2 3" xfId="2284"/>
    <cellStyle name="Обычный 14 2 3 2" xfId="2285"/>
    <cellStyle name="Обычный 14 2 4" xfId="2286"/>
    <cellStyle name="Обычный 14 2 4 2" xfId="2287"/>
    <cellStyle name="Обычный 14 2 5" xfId="2288"/>
    <cellStyle name="Обычный 14 2 6" xfId="2289"/>
    <cellStyle name="Обычный 14 2 7" xfId="2290"/>
    <cellStyle name="Обычный 14 3" xfId="2291"/>
    <cellStyle name="Обычный 14 3 2" xfId="2292"/>
    <cellStyle name="Обычный 14 3 2 2" xfId="2293"/>
    <cellStyle name="Обычный 14 3 3" xfId="2294"/>
    <cellStyle name="Обычный 14 3 3 2" xfId="2295"/>
    <cellStyle name="Обычный 14 3 4" xfId="2296"/>
    <cellStyle name="Обычный 14 3 5" xfId="2297"/>
    <cellStyle name="Обычный 14 4" xfId="2298"/>
    <cellStyle name="Обычный 14 4 2" xfId="2299"/>
    <cellStyle name="Обычный 14 5" xfId="2300"/>
    <cellStyle name="Обычный 14 5 2" xfId="2301"/>
    <cellStyle name="Обычный 14 6" xfId="2302"/>
    <cellStyle name="Обычный 14 7" xfId="2303"/>
    <cellStyle name="Обычный 14 8" xfId="2304"/>
    <cellStyle name="Обычный 14_51,50_1 кв_общий" xfId="2305"/>
    <cellStyle name="Обычный 15" xfId="2306"/>
    <cellStyle name="Обычный 15 2" xfId="2307"/>
    <cellStyle name="Обычный 15 2 2" xfId="2308"/>
    <cellStyle name="Обычный 15 2 2 2" xfId="2309"/>
    <cellStyle name="Обычный 15 2 2 2 2" xfId="2310"/>
    <cellStyle name="Обычный 15 2 2 3" xfId="2311"/>
    <cellStyle name="Обычный 15 2 2 3 2" xfId="2312"/>
    <cellStyle name="Обычный 15 2 2 4" xfId="2313"/>
    <cellStyle name="Обычный 15 2 2 5" xfId="2314"/>
    <cellStyle name="Обычный 15 2 3" xfId="2315"/>
    <cellStyle name="Обычный 15 2 3 2" xfId="2316"/>
    <cellStyle name="Обычный 15 2 4" xfId="2317"/>
    <cellStyle name="Обычный 15 2 4 2" xfId="2318"/>
    <cellStyle name="Обычный 15 2 5" xfId="2319"/>
    <cellStyle name="Обычный 15 2 6" xfId="2320"/>
    <cellStyle name="Обычный 15 2 7" xfId="2321"/>
    <cellStyle name="Обычный 15 3" xfId="2322"/>
    <cellStyle name="Обычный 15 3 2" xfId="2323"/>
    <cellStyle name="Обычный 15 3 2 2" xfId="2324"/>
    <cellStyle name="Обычный 15 3 3" xfId="2325"/>
    <cellStyle name="Обычный 15 3 3 2" xfId="2326"/>
    <cellStyle name="Обычный 15 3 4" xfId="2327"/>
    <cellStyle name="Обычный 15 3 5" xfId="2328"/>
    <cellStyle name="Обычный 15 4" xfId="2329"/>
    <cellStyle name="Обычный 15 4 2" xfId="2330"/>
    <cellStyle name="Обычный 15 5" xfId="2331"/>
    <cellStyle name="Обычный 15 5 2" xfId="2332"/>
    <cellStyle name="Обычный 15 6" xfId="2333"/>
    <cellStyle name="Обычный 15 7" xfId="2334"/>
    <cellStyle name="Обычный 15 8" xfId="2335"/>
    <cellStyle name="Обычный 15_51,50_1 кв_общий" xfId="2336"/>
    <cellStyle name="Обычный 16" xfId="2337"/>
    <cellStyle name="Обычный 16 2" xfId="2338"/>
    <cellStyle name="Обычный 16 2 2" xfId="2339"/>
    <cellStyle name="Обычный 16 2 2 2" xfId="2340"/>
    <cellStyle name="Обычный 16 2 2 2 2" xfId="2341"/>
    <cellStyle name="Обычный 16 2 2 3" xfId="2342"/>
    <cellStyle name="Обычный 16 2 2 3 2" xfId="2343"/>
    <cellStyle name="Обычный 16 2 2 4" xfId="2344"/>
    <cellStyle name="Обычный 16 2 2 5" xfId="2345"/>
    <cellStyle name="Обычный 16 2 3" xfId="2346"/>
    <cellStyle name="Обычный 16 2 3 2" xfId="2347"/>
    <cellStyle name="Обычный 16 2 4" xfId="2348"/>
    <cellStyle name="Обычный 16 2 4 2" xfId="2349"/>
    <cellStyle name="Обычный 16 2 5" xfId="2350"/>
    <cellStyle name="Обычный 16 2 6" xfId="2351"/>
    <cellStyle name="Обычный 16 2 7" xfId="2352"/>
    <cellStyle name="Обычный 16 3" xfId="2353"/>
    <cellStyle name="Обычный 16 3 2" xfId="2354"/>
    <cellStyle name="Обычный 16 3 2 2" xfId="2355"/>
    <cellStyle name="Обычный 16 3 2 2 2" xfId="2356"/>
    <cellStyle name="Обычный 16 3 2 2 2 2" xfId="2357"/>
    <cellStyle name="Обычный 16 3 2 2 3" xfId="2358"/>
    <cellStyle name="Обычный 16 3 2 2 3 2" xfId="2359"/>
    <cellStyle name="Обычный 16 3 2 2 4" xfId="2360"/>
    <cellStyle name="Обычный 16 3 2 2 5" xfId="2361"/>
    <cellStyle name="Обычный 16 3 2 3" xfId="2362"/>
    <cellStyle name="Обычный 16 3 2 3 2" xfId="2363"/>
    <cellStyle name="Обычный 16 3 2 3 2 2" xfId="2364"/>
    <cellStyle name="Обычный 16 3 2 3 3" xfId="2365"/>
    <cellStyle name="Обычный 16 3 2 3 4" xfId="2366"/>
    <cellStyle name="Обычный 16 3 2 3 5" xfId="2367"/>
    <cellStyle name="Обычный 16 3 2 4" xfId="2368"/>
    <cellStyle name="Обычный 16 3 2 4 2" xfId="2369"/>
    <cellStyle name="Обычный 16 3 2 5" xfId="2370"/>
    <cellStyle name="Обычный 16 3 2 6" xfId="2371"/>
    <cellStyle name="Обычный 16 3 2 7" xfId="2372"/>
    <cellStyle name="Обычный 16 3 2 8" xfId="2373"/>
    <cellStyle name="Обычный 16 3 3" xfId="2374"/>
    <cellStyle name="Обычный 16 3 3 2" xfId="2375"/>
    <cellStyle name="Обычный 16 3 3 2 2" xfId="2376"/>
    <cellStyle name="Обычный 16 3 3 3" xfId="2377"/>
    <cellStyle name="Обычный 16 3 3 3 2" xfId="2378"/>
    <cellStyle name="Обычный 16 3 3 4" xfId="2379"/>
    <cellStyle name="Обычный 16 3 3 5" xfId="2380"/>
    <cellStyle name="Обычный 16 3 4" xfId="2381"/>
    <cellStyle name="Обычный 16 3 4 2" xfId="2382"/>
    <cellStyle name="Обычный 16 3 5" xfId="2383"/>
    <cellStyle name="Обычный 16 3 5 2" xfId="2384"/>
    <cellStyle name="Обычный 16 3 6" xfId="2385"/>
    <cellStyle name="Обычный 16 3 7" xfId="2386"/>
    <cellStyle name="Обычный 16 3 8" xfId="2387"/>
    <cellStyle name="Обычный 16 3_51,50_1 кв_общий" xfId="2388"/>
    <cellStyle name="Обычный 16 4" xfId="2389"/>
    <cellStyle name="Обычный 16 4 2" xfId="2390"/>
    <cellStyle name="Обычный 16 4 2 2" xfId="2391"/>
    <cellStyle name="Обычный 16 4 3" xfId="2392"/>
    <cellStyle name="Обычный 16 4 3 2" xfId="2393"/>
    <cellStyle name="Обычный 16 4 4" xfId="2394"/>
    <cellStyle name="Обычный 16 4 5" xfId="2395"/>
    <cellStyle name="Обычный 16 5" xfId="2396"/>
    <cellStyle name="Обычный 16 5 2" xfId="2397"/>
    <cellStyle name="Обычный 16 6" xfId="2398"/>
    <cellStyle name="Обычный 16 6 2" xfId="2399"/>
    <cellStyle name="Обычный 16 7" xfId="2400"/>
    <cellStyle name="Обычный 16 8" xfId="2401"/>
    <cellStyle name="Обычный 16 9" xfId="2402"/>
    <cellStyle name="Обычный 16_51,50_1 кв_общий" xfId="2403"/>
    <cellStyle name="Обычный 17" xfId="2404"/>
    <cellStyle name="Обычный 17 10" xfId="2405"/>
    <cellStyle name="Обычный 17 2" xfId="2406"/>
    <cellStyle name="Обычный 17 2 2" xfId="2407"/>
    <cellStyle name="Обычный 17 2 2 2" xfId="2408"/>
    <cellStyle name="Обычный 17 2 2 2 2" xfId="2409"/>
    <cellStyle name="Обычный 17 2 2 3" xfId="2410"/>
    <cellStyle name="Обычный 17 2 2 3 2" xfId="2411"/>
    <cellStyle name="Обычный 17 2 2 4" xfId="2412"/>
    <cellStyle name="Обычный 17 2 2 5" xfId="2413"/>
    <cellStyle name="Обычный 17 2 3" xfId="2414"/>
    <cellStyle name="Обычный 17 2 3 2" xfId="2415"/>
    <cellStyle name="Обычный 17 2 4" xfId="2416"/>
    <cellStyle name="Обычный 17 2 4 2" xfId="2417"/>
    <cellStyle name="Обычный 17 2 5" xfId="2418"/>
    <cellStyle name="Обычный 17 2 6" xfId="2419"/>
    <cellStyle name="Обычный 17 2 7" xfId="2420"/>
    <cellStyle name="Обычный 17 3" xfId="2421"/>
    <cellStyle name="Обычный 17 3 2" xfId="2422"/>
    <cellStyle name="Обычный 17 3 2 2" xfId="2423"/>
    <cellStyle name="Обычный 17 3 2 2 2" xfId="2424"/>
    <cellStyle name="Обычный 17 3 2 3" xfId="2425"/>
    <cellStyle name="Обычный 17 3 2 3 2" xfId="2426"/>
    <cellStyle name="Обычный 17 3 2 4" xfId="2427"/>
    <cellStyle name="Обычный 17 3 2 5" xfId="2428"/>
    <cellStyle name="Обычный 17 3 3" xfId="2429"/>
    <cellStyle name="Обычный 17 3 3 2" xfId="2430"/>
    <cellStyle name="Обычный 17 3 4" xfId="2431"/>
    <cellStyle name="Обычный 17 3 4 2" xfId="2432"/>
    <cellStyle name="Обычный 17 3 5" xfId="2433"/>
    <cellStyle name="Обычный 17 3 6" xfId="2434"/>
    <cellStyle name="Обычный 17 3 7" xfId="2435"/>
    <cellStyle name="Обычный 17 4" xfId="2436"/>
    <cellStyle name="Обычный 17 4 10" xfId="2437"/>
    <cellStyle name="Обычный 17 4 11" xfId="2438"/>
    <cellStyle name="Обычный 17 4 2" xfId="2439"/>
    <cellStyle name="Обычный 17 4 2 2" xfId="2440"/>
    <cellStyle name="Обычный 17 4 2 2 2" xfId="2441"/>
    <cellStyle name="Обычный 17 4 2 2 2 2" xfId="2442"/>
    <cellStyle name="Обычный 17 4 2 2 3" xfId="2443"/>
    <cellStyle name="Обычный 17 4 2 2 3 2" xfId="2444"/>
    <cellStyle name="Обычный 17 4 2 2 4" xfId="2445"/>
    <cellStyle name="Обычный 17 4 2 2 5" xfId="2446"/>
    <cellStyle name="Обычный 17 4 2 3" xfId="2447"/>
    <cellStyle name="Обычный 17 4 2 3 2" xfId="2448"/>
    <cellStyle name="Обычный 17 4 2 4" xfId="2449"/>
    <cellStyle name="Обычный 17 4 2 4 2" xfId="2450"/>
    <cellStyle name="Обычный 17 4 2 5" xfId="2451"/>
    <cellStyle name="Обычный 17 4 2 6" xfId="2452"/>
    <cellStyle name="Обычный 17 4 2 7" xfId="2453"/>
    <cellStyle name="Обычный 17 4 3" xfId="2454"/>
    <cellStyle name="Обычный 17 4 3 10" xfId="2455"/>
    <cellStyle name="Обычный 17 4 3 10 2" xfId="2456"/>
    <cellStyle name="Обычный 17 4 3 10 2 2" xfId="2457"/>
    <cellStyle name="Обычный 17 4 3 10 3" xfId="2458"/>
    <cellStyle name="Обычный 17 4 3 10 4" xfId="2459"/>
    <cellStyle name="Обычный 17 4 3 10 5" xfId="2460"/>
    <cellStyle name="Обычный 17 4 3 11" xfId="2461"/>
    <cellStyle name="Обычный 17 4 3 11 2" xfId="2462"/>
    <cellStyle name="Обычный 17 4 3 11 2 2" xfId="2463"/>
    <cellStyle name="Обычный 17 4 3 11 2 2 2" xfId="2464"/>
    <cellStyle name="Обычный 17 4 3 11 2 3" xfId="2465"/>
    <cellStyle name="Обычный 17 4 3 11 2 4" xfId="2466"/>
    <cellStyle name="Обычный 17 4 3 11 3" xfId="2467"/>
    <cellStyle name="Обычный 17 4 3 11 3 2" xfId="2468"/>
    <cellStyle name="Обычный 17 4 3 11 3 2 2" xfId="2469"/>
    <cellStyle name="Обычный 17 4 3 11 3 3" xfId="2470"/>
    <cellStyle name="Обычный 17 4 3 11 4" xfId="2471"/>
    <cellStyle name="Обычный 17 4 3 11 4 2" xfId="2472"/>
    <cellStyle name="Обычный 17 4 3 11 4 3" xfId="2473"/>
    <cellStyle name="Обычный 17 4 3 11 5" xfId="2474"/>
    <cellStyle name="Обычный 17 4 3 11 6" xfId="2475"/>
    <cellStyle name="Обычный 17 4 3 11 7" xfId="2476"/>
    <cellStyle name="Обычный 17 4 3 11 7 2" xfId="2477"/>
    <cellStyle name="Обычный 17 4 3 11 7 3" xfId="2478"/>
    <cellStyle name="Обычный 17 4 3 12" xfId="2479"/>
    <cellStyle name="Обычный 17 4 3 12 2" xfId="2480"/>
    <cellStyle name="Обычный 17 4 3 12 2 2" xfId="2481"/>
    <cellStyle name="Обычный 17 4 3 12 3" xfId="2482"/>
    <cellStyle name="Обычный 17 4 3 12 4" xfId="2483"/>
    <cellStyle name="Обычный 17 4 3 12 5" xfId="2484"/>
    <cellStyle name="Обычный 17 4 3 13" xfId="2485"/>
    <cellStyle name="Обычный 17 4 3 13 2" xfId="2486"/>
    <cellStyle name="Обычный 17 4 3 13 2 2" xfId="2487"/>
    <cellStyle name="Обычный 17 4 3 13 3" xfId="2488"/>
    <cellStyle name="Обычный 17 4 3 13 4" xfId="2489"/>
    <cellStyle name="Обычный 17 4 3 13 5" xfId="2490"/>
    <cellStyle name="Обычный 17 4 3 14" xfId="2491"/>
    <cellStyle name="Обычный 17 4 3 14 2" xfId="2492"/>
    <cellStyle name="Обычный 17 4 3 14 2 2" xfId="2493"/>
    <cellStyle name="Обычный 17 4 3 14 2 3" xfId="2494"/>
    <cellStyle name="Обычный 17 4 3 14 2 4" xfId="2495"/>
    <cellStyle name="Обычный 17 4 3 14 2 4 2" xfId="2496"/>
    <cellStyle name="Обычный 17 4 3 14 3" xfId="2497"/>
    <cellStyle name="Обычный 17 4 3 14 4" xfId="2498"/>
    <cellStyle name="Обычный 17 4 3 14 5" xfId="2499"/>
    <cellStyle name="Обычный 17 4 3 15" xfId="2500"/>
    <cellStyle name="Обычный 17 4 3 15 2" xfId="2501"/>
    <cellStyle name="Обычный 17 4 3 15 2 2" xfId="2502"/>
    <cellStyle name="Обычный 17 4 3 15 3" xfId="2503"/>
    <cellStyle name="Обычный 17 4 3 15 4" xfId="2504"/>
    <cellStyle name="Обычный 17 4 3 15 5" xfId="2505"/>
    <cellStyle name="Обычный 17 4 3 16" xfId="2506"/>
    <cellStyle name="Обычный 17 4 3 16 2" xfId="2507"/>
    <cellStyle name="Обычный 17 4 3 16 2 2" xfId="2508"/>
    <cellStyle name="Обычный 17 4 3 16 3" xfId="2509"/>
    <cellStyle name="Обычный 17 4 3 16 4" xfId="2510"/>
    <cellStyle name="Обычный 17 4 3 17" xfId="2511"/>
    <cellStyle name="Обычный 17 4 3 17 2" xfId="2512"/>
    <cellStyle name="Обычный 17 4 3 18" xfId="2513"/>
    <cellStyle name="Обычный 17 4 3 19" xfId="2514"/>
    <cellStyle name="Обычный 17 4 3 2" xfId="2515"/>
    <cellStyle name="Обычный 17 4 3 2 2" xfId="2516"/>
    <cellStyle name="Обычный 17 4 3 2 2 2" xfId="2517"/>
    <cellStyle name="Обычный 17 4 3 2 2 2 2" xfId="2518"/>
    <cellStyle name="Обычный 17 4 3 2 2 2 2 2" xfId="2519"/>
    <cellStyle name="Обычный 17 4 3 2 2 2 3" xfId="2520"/>
    <cellStyle name="Обычный 17 4 3 2 2 2 4" xfId="2521"/>
    <cellStyle name="Обычный 17 4 3 2 2 2 5" xfId="2522"/>
    <cellStyle name="Обычный 17 4 3 2 2 3" xfId="2523"/>
    <cellStyle name="Обычный 17 4 3 2 2 3 2" xfId="2524"/>
    <cellStyle name="Обычный 17 4 3 2 2 4" xfId="2525"/>
    <cellStyle name="Обычный 17 4 3 2 2 5" xfId="2526"/>
    <cellStyle name="Обычный 17 4 3 2 2 6" xfId="2527"/>
    <cellStyle name="Обычный 17 4 3 2 3" xfId="2528"/>
    <cellStyle name="Обычный 17 4 3 2 3 2" xfId="2529"/>
    <cellStyle name="Обычный 17 4 3 2 3 2 2" xfId="2530"/>
    <cellStyle name="Обычный 17 4 3 2 3 3" xfId="2531"/>
    <cellStyle name="Обычный 17 4 3 2 3 4" xfId="2532"/>
    <cellStyle name="Обычный 17 4 3 2 3 5" xfId="2533"/>
    <cellStyle name="Обычный 17 4 3 2 4" xfId="2534"/>
    <cellStyle name="Обычный 17 4 3 2 4 2" xfId="2535"/>
    <cellStyle name="Обычный 17 4 3 2 5" xfId="2536"/>
    <cellStyle name="Обычный 17 4 3 2 6" xfId="2537"/>
    <cellStyle name="Обычный 17 4 3 2 7" xfId="2538"/>
    <cellStyle name="Обычный 17 4 3 20" xfId="2539"/>
    <cellStyle name="Обычный 17 4 3 3" xfId="2540"/>
    <cellStyle name="Обычный 17 4 3 3 2" xfId="2541"/>
    <cellStyle name="Обычный 17 4 3 3 2 2" xfId="2542"/>
    <cellStyle name="Обычный 17 4 3 3 2 2 2" xfId="2543"/>
    <cellStyle name="Обычный 17 4 3 3 2 3" xfId="2544"/>
    <cellStyle name="Обычный 17 4 3 3 2 4" xfId="2545"/>
    <cellStyle name="Обычный 17 4 3 3 2 5" xfId="2546"/>
    <cellStyle name="Обычный 17 4 3 3 3" xfId="2547"/>
    <cellStyle name="Обычный 17 4 3 3 3 2" xfId="2548"/>
    <cellStyle name="Обычный 17 4 3 3 4" xfId="2549"/>
    <cellStyle name="Обычный 17 4 3 3 5" xfId="2550"/>
    <cellStyle name="Обычный 17 4 3 3 6" xfId="2551"/>
    <cellStyle name="Обычный 17 4 3 4" xfId="2552"/>
    <cellStyle name="Обычный 17 4 3 4 2" xfId="2553"/>
    <cellStyle name="Обычный 17 4 3 4 2 2" xfId="2554"/>
    <cellStyle name="Обычный 17 4 3 4 2 2 2" xfId="2555"/>
    <cellStyle name="Обычный 17 4 3 4 2 3" xfId="2556"/>
    <cellStyle name="Обычный 17 4 3 4 2 4" xfId="2557"/>
    <cellStyle name="Обычный 17 4 3 4 2 5" xfId="2558"/>
    <cellStyle name="Обычный 17 4 3 4 3" xfId="2559"/>
    <cellStyle name="Обычный 17 4 3 4 3 2" xfId="2560"/>
    <cellStyle name="Обычный 17 4 3 4 4" xfId="2561"/>
    <cellStyle name="Обычный 17 4 3 4 5" xfId="2562"/>
    <cellStyle name="Обычный 17 4 3 4 6" xfId="2563"/>
    <cellStyle name="Обычный 17 4 3 5" xfId="2564"/>
    <cellStyle name="Обычный 17 4 3 5 2" xfId="2565"/>
    <cellStyle name="Обычный 17 4 3 5 2 2" xfId="2566"/>
    <cellStyle name="Обычный 17 4 3 5 2 2 2" xfId="2567"/>
    <cellStyle name="Обычный 17 4 3 5 2 3" xfId="2568"/>
    <cellStyle name="Обычный 17 4 3 5 2 4" xfId="2569"/>
    <cellStyle name="Обычный 17 4 3 5 2 5" xfId="2570"/>
    <cellStyle name="Обычный 17 4 3 5 3" xfId="2571"/>
    <cellStyle name="Обычный 17 4 3 5 3 2" xfId="2572"/>
    <cellStyle name="Обычный 17 4 3 5 4" xfId="2573"/>
    <cellStyle name="Обычный 17 4 3 5 5" xfId="2574"/>
    <cellStyle name="Обычный 17 4 3 5 6" xfId="2575"/>
    <cellStyle name="Обычный 17 4 3 6" xfId="2576"/>
    <cellStyle name="Обычный 17 4 3 6 2" xfId="2577"/>
    <cellStyle name="Обычный 17 4 3 6 2 2" xfId="2578"/>
    <cellStyle name="Обычный 17 4 3 6 3" xfId="2579"/>
    <cellStyle name="Обычный 17 4 3 6 4" xfId="2580"/>
    <cellStyle name="Обычный 17 4 3 6 5" xfId="2581"/>
    <cellStyle name="Обычный 17 4 3 7" xfId="2582"/>
    <cellStyle name="Обычный 17 4 3 7 2" xfId="2583"/>
    <cellStyle name="Обычный 17 4 3 7 2 2" xfId="2584"/>
    <cellStyle name="Обычный 17 4 3 7 3" xfId="2585"/>
    <cellStyle name="Обычный 17 4 3 7 4" xfId="2586"/>
    <cellStyle name="Обычный 17 4 3 7 5" xfId="2587"/>
    <cellStyle name="Обычный 17 4 3 8" xfId="2588"/>
    <cellStyle name="Обычный 17 4 3 8 2" xfId="2589"/>
    <cellStyle name="Обычный 17 4 3 8 2 2" xfId="2590"/>
    <cellStyle name="Обычный 17 4 3 8 3" xfId="2591"/>
    <cellStyle name="Обычный 17 4 3 8 4" xfId="2592"/>
    <cellStyle name="Обычный 17 4 3 8 5" xfId="2593"/>
    <cellStyle name="Обычный 17 4 3 9" xfId="2594"/>
    <cellStyle name="Обычный 17 4 3 9 2" xfId="2595"/>
    <cellStyle name="Обычный 17 4 3 9 2 2" xfId="2596"/>
    <cellStyle name="Обычный 17 4 3 9 3" xfId="2597"/>
    <cellStyle name="Обычный 17 4 3 9 4" xfId="2598"/>
    <cellStyle name="Обычный 17 4 3 9 5" xfId="2599"/>
    <cellStyle name="Обычный 17 4 4" xfId="2600"/>
    <cellStyle name="Обычный 17 4 4 2" xfId="2601"/>
    <cellStyle name="Обычный 17 4 4 2 2" xfId="2602"/>
    <cellStyle name="Обычный 17 4 4 2 2 2" xfId="2603"/>
    <cellStyle name="Обычный 17 4 4 2 3" xfId="2604"/>
    <cellStyle name="Обычный 17 4 4 2 3 2" xfId="2605"/>
    <cellStyle name="Обычный 17 4 4 2 4" xfId="2606"/>
    <cellStyle name="Обычный 17 4 4 2 5" xfId="2607"/>
    <cellStyle name="Обычный 17 4 4 3" xfId="2608"/>
    <cellStyle name="Обычный 17 4 4 3 2" xfId="2609"/>
    <cellStyle name="Обычный 17 4 4 4" xfId="2610"/>
    <cellStyle name="Обычный 17 4 4 4 2" xfId="2611"/>
    <cellStyle name="Обычный 17 4 4 5" xfId="2612"/>
    <cellStyle name="Обычный 17 4 4 6" xfId="2613"/>
    <cellStyle name="Обычный 17 4 4 7" xfId="2614"/>
    <cellStyle name="Обычный 17 4 5" xfId="2615"/>
    <cellStyle name="Обычный 17 4 5 2" xfId="2616"/>
    <cellStyle name="Обычный 17 4 5 2 2" xfId="2617"/>
    <cellStyle name="Обычный 17 4 5 2 2 2" xfId="2618"/>
    <cellStyle name="Обычный 17 4 5 2 3" xfId="2619"/>
    <cellStyle name="Обычный 17 4 5 2 3 2" xfId="2620"/>
    <cellStyle name="Обычный 17 4 5 2 4" xfId="2621"/>
    <cellStyle name="Обычный 17 4 5 2 5" xfId="2622"/>
    <cellStyle name="Обычный 17 4 5 3" xfId="2623"/>
    <cellStyle name="Обычный 17 4 5 3 2" xfId="2624"/>
    <cellStyle name="Обычный 17 4 5 4" xfId="2625"/>
    <cellStyle name="Обычный 17 4 5 4 2" xfId="2626"/>
    <cellStyle name="Обычный 17 4 5 5" xfId="2627"/>
    <cellStyle name="Обычный 17 4 5 6" xfId="2628"/>
    <cellStyle name="Обычный 17 4 5 7" xfId="2629"/>
    <cellStyle name="Обычный 17 4 6" xfId="2630"/>
    <cellStyle name="Обычный 17 4 6 2" xfId="2631"/>
    <cellStyle name="Обычный 17 4 6 2 2" xfId="2632"/>
    <cellStyle name="Обычный 17 4 6 3" xfId="2633"/>
    <cellStyle name="Обычный 17 4 6 3 2" xfId="2634"/>
    <cellStyle name="Обычный 17 4 6 4" xfId="2635"/>
    <cellStyle name="Обычный 17 4 6 5" xfId="2636"/>
    <cellStyle name="Обычный 17 4 7" xfId="2637"/>
    <cellStyle name="Обычный 17 4 7 2" xfId="2638"/>
    <cellStyle name="Обычный 17 4 8" xfId="2639"/>
    <cellStyle name="Обычный 17 4 8 2" xfId="2640"/>
    <cellStyle name="Обычный 17 4 9" xfId="2641"/>
    <cellStyle name="Обычный 17 4_51,50_1 кв_общий" xfId="2642"/>
    <cellStyle name="Обычный 17 5" xfId="2643"/>
    <cellStyle name="Обычный 17 5 2" xfId="2644"/>
    <cellStyle name="Обычный 17 5 2 2" xfId="2645"/>
    <cellStyle name="Обычный 17 5 3" xfId="2646"/>
    <cellStyle name="Обычный 17 5 3 2" xfId="2647"/>
    <cellStyle name="Обычный 17 5 4" xfId="2648"/>
    <cellStyle name="Обычный 17 5 5" xfId="2649"/>
    <cellStyle name="Обычный 17 6" xfId="2650"/>
    <cellStyle name="Обычный 17 6 2" xfId="2651"/>
    <cellStyle name="Обычный 17 7" xfId="2652"/>
    <cellStyle name="Обычный 17 7 2" xfId="2653"/>
    <cellStyle name="Обычный 17 8" xfId="2654"/>
    <cellStyle name="Обычный 17 9" xfId="2655"/>
    <cellStyle name="Обычный 17_51,50_1 кв_общий" xfId="2656"/>
    <cellStyle name="Обычный 18" xfId="2657"/>
    <cellStyle name="Обычный 18 10" xfId="2658"/>
    <cellStyle name="Обычный 18 2" xfId="2659"/>
    <cellStyle name="Обычный 18 2 2" xfId="2660"/>
    <cellStyle name="Обычный 18 2 2 2" xfId="2661"/>
    <cellStyle name="Обычный 18 2 2 2 2" xfId="2662"/>
    <cellStyle name="Обычный 18 2 2 3" xfId="2663"/>
    <cellStyle name="Обычный 18 2 2 3 2" xfId="2664"/>
    <cellStyle name="Обычный 18 2 2 4" xfId="2665"/>
    <cellStyle name="Обычный 18 2 2 5" xfId="2666"/>
    <cellStyle name="Обычный 18 2 3" xfId="2667"/>
    <cellStyle name="Обычный 18 2 3 2" xfId="2668"/>
    <cellStyle name="Обычный 18 2 4" xfId="2669"/>
    <cellStyle name="Обычный 18 2 4 2" xfId="2670"/>
    <cellStyle name="Обычный 18 2 5" xfId="2671"/>
    <cellStyle name="Обычный 18 2 6" xfId="2672"/>
    <cellStyle name="Обычный 18 2 7" xfId="2673"/>
    <cellStyle name="Обычный 18 3" xfId="2674"/>
    <cellStyle name="Обычный 18 3 2" xfId="2675"/>
    <cellStyle name="Обычный 18 3 2 10" xfId="2676"/>
    <cellStyle name="Обычный 18 3 2 10 2" xfId="2677"/>
    <cellStyle name="Обычный 18 3 2 10 2 2" xfId="2678"/>
    <cellStyle name="Обычный 18 3 2 10 3" xfId="2679"/>
    <cellStyle name="Обычный 18 3 2 10 4" xfId="2680"/>
    <cellStyle name="Обычный 18 3 2 10 5" xfId="2681"/>
    <cellStyle name="Обычный 18 3 2 11" xfId="2682"/>
    <cellStyle name="Обычный 18 3 2 11 2" xfId="2683"/>
    <cellStyle name="Обычный 18 3 2 11 2 2" xfId="2684"/>
    <cellStyle name="Обычный 18 3 2 11 3" xfId="2685"/>
    <cellStyle name="Обычный 18 3 2 11 4" xfId="2686"/>
    <cellStyle name="Обычный 18 3 2 11 5" xfId="2687"/>
    <cellStyle name="Обычный 18 3 2 12" xfId="2688"/>
    <cellStyle name="Обычный 18 3 2 12 2" xfId="2689"/>
    <cellStyle name="Обычный 18 3 2 12 2 2" xfId="2690"/>
    <cellStyle name="Обычный 18 3 2 12 2 2 2" xfId="2691"/>
    <cellStyle name="Обычный 18 3 2 12 2 3" xfId="2692"/>
    <cellStyle name="Обычный 18 3 2 12 2 3 2" xfId="2693"/>
    <cellStyle name="Обычный 18 3 2 12 2 4" xfId="2694"/>
    <cellStyle name="Обычный 18 3 2 12 2 4 2" xfId="2695"/>
    <cellStyle name="Обычный 18 3 2 12 3" xfId="2696"/>
    <cellStyle name="Обычный 18 3 2 12 3 2" xfId="2697"/>
    <cellStyle name="Обычный 18 3 2 12 4" xfId="2698"/>
    <cellStyle name="Обычный 18 3 2 12 5" xfId="2699"/>
    <cellStyle name="Обычный 18 3 2 13" xfId="2700"/>
    <cellStyle name="Обычный 18 3 2 13 2" xfId="2701"/>
    <cellStyle name="Обычный 18 3 2 13 3" xfId="2702"/>
    <cellStyle name="Обычный 18 3 2 14" xfId="2703"/>
    <cellStyle name="Обычный 18 3 2 15" xfId="2704"/>
    <cellStyle name="Обычный 18 3 2 16" xfId="2705"/>
    <cellStyle name="Обычный 18 3 2 17" xfId="2706"/>
    <cellStyle name="Обычный 18 3 2 2" xfId="2707"/>
    <cellStyle name="Обычный 18 3 2 2 2" xfId="2708"/>
    <cellStyle name="Обычный 18 3 2 2 2 2" xfId="2709"/>
    <cellStyle name="Обычный 18 3 2 2 2 2 2" xfId="2710"/>
    <cellStyle name="Обычный 18 3 2 2 2 2 2 2" xfId="2711"/>
    <cellStyle name="Обычный 18 3 2 2 2 2 2 2 2" xfId="2712"/>
    <cellStyle name="Обычный 18 3 2 2 2 2 2 3" xfId="2713"/>
    <cellStyle name="Обычный 18 3 2 2 2 2 2 3 2" xfId="2714"/>
    <cellStyle name="Обычный 18 3 2 2 2 2 2 4" xfId="2715"/>
    <cellStyle name="Обычный 18 3 2 2 2 2 2 5" xfId="2716"/>
    <cellStyle name="Обычный 18 3 2 2 2 2 3" xfId="2717"/>
    <cellStyle name="Обычный 18 3 2 2 2 2 3 2" xfId="2718"/>
    <cellStyle name="Обычный 18 3 2 2 2 2 4" xfId="2719"/>
    <cellStyle name="Обычный 18 3 2 2 2 2 4 2" xfId="2720"/>
    <cellStyle name="Обычный 18 3 2 2 2 2 5" xfId="2721"/>
    <cellStyle name="Обычный 18 3 2 2 2 2 6" xfId="2722"/>
    <cellStyle name="Обычный 18 3 2 2 2 3" xfId="2723"/>
    <cellStyle name="Обычный 18 3 2 2 2 3 2" xfId="2724"/>
    <cellStyle name="Обычный 18 3 2 2 2 3 2 2" xfId="2725"/>
    <cellStyle name="Обычный 18 3 2 2 2 3 2 2 2" xfId="2726"/>
    <cellStyle name="Обычный 18 3 2 2 2 3 2 3" xfId="2727"/>
    <cellStyle name="Обычный 18 3 2 2 2 3 2 4" xfId="2728"/>
    <cellStyle name="Обычный 18 3 2 2 2 3 2 5" xfId="2729"/>
    <cellStyle name="Обычный 18 3 2 2 2 3 3" xfId="2730"/>
    <cellStyle name="Обычный 18 3 2 2 2 3 3 2" xfId="2731"/>
    <cellStyle name="Обычный 18 3 2 2 2 3 4" xfId="2732"/>
    <cellStyle name="Обычный 18 3 2 2 2 3 5" xfId="2733"/>
    <cellStyle name="Обычный 18 3 2 2 2 3 6" xfId="2734"/>
    <cellStyle name="Обычный 18 3 2 2 2 4" xfId="2735"/>
    <cellStyle name="Обычный 18 3 2 2 2 4 2" xfId="2736"/>
    <cellStyle name="Обычный 18 3 2 2 2 4 2 2" xfId="2737"/>
    <cellStyle name="Обычный 18 3 2 2 2 4 2 2 2" xfId="2738"/>
    <cellStyle name="Обычный 18 3 2 2 2 4 2 3" xfId="2739"/>
    <cellStyle name="Обычный 18 3 2 2 2 4 2 4" xfId="2740"/>
    <cellStyle name="Обычный 18 3 2 2 2 4 2 5" xfId="2741"/>
    <cellStyle name="Обычный 18 3 2 2 2 4 3" xfId="2742"/>
    <cellStyle name="Обычный 18 3 2 2 2 4 3 2" xfId="2743"/>
    <cellStyle name="Обычный 18 3 2 2 2 4 4" xfId="2744"/>
    <cellStyle name="Обычный 18 3 2 2 2 4 5" xfId="2745"/>
    <cellStyle name="Обычный 18 3 2 2 2 4 6" xfId="2746"/>
    <cellStyle name="Обычный 18 3 2 2 2 5" xfId="2747"/>
    <cellStyle name="Обычный 18 3 2 2 2 5 2" xfId="2748"/>
    <cellStyle name="Обычный 18 3 2 2 2 5 2 2" xfId="2749"/>
    <cellStyle name="Обычный 18 3 2 2 2 5 3" xfId="2750"/>
    <cellStyle name="Обычный 18 3 2 2 2 5 4" xfId="2751"/>
    <cellStyle name="Обычный 18 3 2 2 2 5 5" xfId="2752"/>
    <cellStyle name="Обычный 18 3 2 2 2 6" xfId="2753"/>
    <cellStyle name="Обычный 18 3 2 2 2 6 2" xfId="2754"/>
    <cellStyle name="Обычный 18 3 2 2 2 7" xfId="2755"/>
    <cellStyle name="Обычный 18 3 2 2 2 8" xfId="2756"/>
    <cellStyle name="Обычный 18 3 2 2 2 9" xfId="2757"/>
    <cellStyle name="Обычный 18 3 2 2 3" xfId="2758"/>
    <cellStyle name="Обычный 18 3 2 2 3 2" xfId="2759"/>
    <cellStyle name="Обычный 18 3 2 2 3 2 2" xfId="2760"/>
    <cellStyle name="Обычный 18 3 2 2 3 3" xfId="2761"/>
    <cellStyle name="Обычный 18 3 2 2 3 3 2" xfId="2762"/>
    <cellStyle name="Обычный 18 3 2 2 3 4" xfId="2763"/>
    <cellStyle name="Обычный 18 3 2 2 3 5" xfId="2764"/>
    <cellStyle name="Обычный 18 3 2 2 4" xfId="2765"/>
    <cellStyle name="Обычный 18 3 2 2 4 2" xfId="2766"/>
    <cellStyle name="Обычный 18 3 2 2 4 2 2" xfId="2767"/>
    <cellStyle name="Обычный 18 3 2 2 4 3" xfId="2768"/>
    <cellStyle name="Обычный 18 3 2 2 4 3 2" xfId="2769"/>
    <cellStyle name="Обычный 18 3 2 2 4 4" xfId="2770"/>
    <cellStyle name="Обычный 18 3 2 2 4 4 2" xfId="2771"/>
    <cellStyle name="Обычный 18 3 2 2 4 5" xfId="2772"/>
    <cellStyle name="Обычный 18 3 2 2 5" xfId="2773"/>
    <cellStyle name="Обычный 18 3 2 2 5 2" xfId="2774"/>
    <cellStyle name="Обычный 18 3 2 2 6" xfId="2775"/>
    <cellStyle name="Обычный 18 3 2 2 7" xfId="2776"/>
    <cellStyle name="Обычный 18 3 2 3" xfId="2777"/>
    <cellStyle name="Обычный 18 3 2 3 2" xfId="2778"/>
    <cellStyle name="Обычный 18 3 2 3 2 2" xfId="2779"/>
    <cellStyle name="Обычный 18 3 2 3 2 2 2" xfId="2780"/>
    <cellStyle name="Обычный 18 3 2 3 2 3" xfId="2781"/>
    <cellStyle name="Обычный 18 3 2 3 2 3 2" xfId="2782"/>
    <cellStyle name="Обычный 18 3 2 3 2 4" xfId="2783"/>
    <cellStyle name="Обычный 18 3 2 3 2 5" xfId="2784"/>
    <cellStyle name="Обычный 18 3 2 3 3" xfId="2785"/>
    <cellStyle name="Обычный 18 3 2 3 3 2" xfId="2786"/>
    <cellStyle name="Обычный 18 3 2 3 4" xfId="2787"/>
    <cellStyle name="Обычный 18 3 2 3 4 2" xfId="2788"/>
    <cellStyle name="Обычный 18 3 2 3 5" xfId="2789"/>
    <cellStyle name="Обычный 18 3 2 3 6" xfId="2790"/>
    <cellStyle name="Обычный 18 3 2 4" xfId="2791"/>
    <cellStyle name="Обычный 18 3 2 4 2" xfId="2792"/>
    <cellStyle name="Обычный 18 3 2 4 2 2" xfId="2793"/>
    <cellStyle name="Обычный 18 3 2 4 2 2 2" xfId="2794"/>
    <cellStyle name="Обычный 18 3 2 4 2 3" xfId="2795"/>
    <cellStyle name="Обычный 18 3 2 4 2 3 2" xfId="2796"/>
    <cellStyle name="Обычный 18 3 2 4 2 4" xfId="2797"/>
    <cellStyle name="Обычный 18 3 2 4 2 5" xfId="2798"/>
    <cellStyle name="Обычный 18 3 2 4 3" xfId="2799"/>
    <cellStyle name="Обычный 18 3 2 4 3 2" xfId="2800"/>
    <cellStyle name="Обычный 18 3 2 4 4" xfId="2801"/>
    <cellStyle name="Обычный 18 3 2 4 4 2" xfId="2802"/>
    <cellStyle name="Обычный 18 3 2 4 5" xfId="2803"/>
    <cellStyle name="Обычный 18 3 2 4 6" xfId="2804"/>
    <cellStyle name="Обычный 18 3 2 5" xfId="2805"/>
    <cellStyle name="Обычный 18 3 2 5 2" xfId="2806"/>
    <cellStyle name="Обычный 18 3 2 5 2 2" xfId="2807"/>
    <cellStyle name="Обычный 18 3 2 5 2 2 2" xfId="2808"/>
    <cellStyle name="Обычный 18 3 2 5 2 3" xfId="2809"/>
    <cellStyle name="Обычный 18 3 2 5 2 3 2" xfId="2810"/>
    <cellStyle name="Обычный 18 3 2 5 2 4" xfId="2811"/>
    <cellStyle name="Обычный 18 3 2 5 2 5" xfId="2812"/>
    <cellStyle name="Обычный 18 3 2 5 3" xfId="2813"/>
    <cellStyle name="Обычный 18 3 2 5 3 2" xfId="2814"/>
    <cellStyle name="Обычный 18 3 2 5 4" xfId="2815"/>
    <cellStyle name="Обычный 18 3 2 5 4 2" xfId="2816"/>
    <cellStyle name="Обычный 18 3 2 5 5" xfId="2817"/>
    <cellStyle name="Обычный 18 3 2 5 6" xfId="2818"/>
    <cellStyle name="Обычный 18 3 2 6" xfId="2819"/>
    <cellStyle name="Обычный 18 3 2 6 2" xfId="2820"/>
    <cellStyle name="Обычный 18 3 2 6 2 2" xfId="2821"/>
    <cellStyle name="Обычный 18 3 2 6 2 2 2" xfId="2822"/>
    <cellStyle name="Обычный 18 3 2 6 2 3" xfId="2823"/>
    <cellStyle name="Обычный 18 3 2 6 2 4" xfId="2824"/>
    <cellStyle name="Обычный 18 3 2 6 2 5" xfId="2825"/>
    <cellStyle name="Обычный 18 3 2 6 3" xfId="2826"/>
    <cellStyle name="Обычный 18 3 2 6 3 2" xfId="2827"/>
    <cellStyle name="Обычный 18 3 2 6 3 2 2" xfId="2828"/>
    <cellStyle name="Обычный 18 3 2 6 3 3" xfId="2829"/>
    <cellStyle name="Обычный 18 3 2 6 3 4" xfId="2830"/>
    <cellStyle name="Обычный 18 3 2 6 3 5" xfId="2831"/>
    <cellStyle name="Обычный 18 3 2 6 4" xfId="2832"/>
    <cellStyle name="Обычный 18 3 2 6 4 2" xfId="2833"/>
    <cellStyle name="Обычный 18 3 2 6 5" xfId="2834"/>
    <cellStyle name="Обычный 18 3 2 6 6" xfId="2835"/>
    <cellStyle name="Обычный 18 3 2 6 7" xfId="2836"/>
    <cellStyle name="Обычный 18 3 2 7" xfId="2837"/>
    <cellStyle name="Обычный 18 3 2 7 2" xfId="2838"/>
    <cellStyle name="Обычный 18 3 2 7 2 2" xfId="2839"/>
    <cellStyle name="Обычный 18 3 2 7 3" xfId="2840"/>
    <cellStyle name="Обычный 18 3 2 7 4" xfId="2841"/>
    <cellStyle name="Обычный 18 3 2 7 5" xfId="2842"/>
    <cellStyle name="Обычный 18 3 2 8" xfId="2843"/>
    <cellStyle name="Обычный 18 3 2 8 2" xfId="2844"/>
    <cellStyle name="Обычный 18 3 2 8 2 2" xfId="2845"/>
    <cellStyle name="Обычный 18 3 2 8 3" xfId="2846"/>
    <cellStyle name="Обычный 18 3 2 8 4" xfId="2847"/>
    <cellStyle name="Обычный 18 3 2 8 5" xfId="2848"/>
    <cellStyle name="Обычный 18 3 2 9" xfId="2849"/>
    <cellStyle name="Обычный 18 3 2 9 2" xfId="2850"/>
    <cellStyle name="Обычный 18 3 2 9 2 2" xfId="2851"/>
    <cellStyle name="Обычный 18 3 2 9 3" xfId="2852"/>
    <cellStyle name="Обычный 18 3 2 9 4" xfId="2853"/>
    <cellStyle name="Обычный 18 3 2 9 5" xfId="2854"/>
    <cellStyle name="Обычный 18 3 2_51,50_1 кв_общий" xfId="2855"/>
    <cellStyle name="Обычный 18 3 3" xfId="2856"/>
    <cellStyle name="Обычный 18 3 3 2" xfId="2857"/>
    <cellStyle name="Обычный 18 3 3 2 2" xfId="2858"/>
    <cellStyle name="Обычный 18 3 3 3" xfId="2859"/>
    <cellStyle name="Обычный 18 3 3 3 2" xfId="2860"/>
    <cellStyle name="Обычный 18 3 3 4" xfId="2861"/>
    <cellStyle name="Обычный 18 3 3 5" xfId="2862"/>
    <cellStyle name="Обычный 18 3 4" xfId="2863"/>
    <cellStyle name="Обычный 18 3 4 2" xfId="2864"/>
    <cellStyle name="Обычный 18 3 5" xfId="2865"/>
    <cellStyle name="Обычный 18 3 5 2" xfId="2866"/>
    <cellStyle name="Обычный 18 3 6" xfId="2867"/>
    <cellStyle name="Обычный 18 3 7" xfId="2868"/>
    <cellStyle name="Обычный 18 3 8" xfId="2869"/>
    <cellStyle name="Обычный 18 3_51,50_1 кв_общий" xfId="2870"/>
    <cellStyle name="Обычный 18 4" xfId="2871"/>
    <cellStyle name="Обычный 18 4 2" xfId="2872"/>
    <cellStyle name="Обычный 18 4 2 2" xfId="2873"/>
    <cellStyle name="Обычный 18 4 2 2 2" xfId="2874"/>
    <cellStyle name="Обычный 18 4 2 3" xfId="2875"/>
    <cellStyle name="Обычный 18 4 2 3 2" xfId="2876"/>
    <cellStyle name="Обычный 18 4 2 4" xfId="2877"/>
    <cellStyle name="Обычный 18 4 2 5" xfId="2878"/>
    <cellStyle name="Обычный 18 4 3" xfId="2879"/>
    <cellStyle name="Обычный 18 4 3 2" xfId="2880"/>
    <cellStyle name="Обычный 18 4 4" xfId="2881"/>
    <cellStyle name="Обычный 18 4 4 2" xfId="2882"/>
    <cellStyle name="Обычный 18 4 5" xfId="2883"/>
    <cellStyle name="Обычный 18 4 6" xfId="2884"/>
    <cellStyle name="Обычный 18 4 7" xfId="2885"/>
    <cellStyle name="Обычный 18 5" xfId="2886"/>
    <cellStyle name="Обычный 18 5 2" xfId="2887"/>
    <cellStyle name="Обычный 18 5 2 2" xfId="2888"/>
    <cellStyle name="Обычный 18 5 3" xfId="2889"/>
    <cellStyle name="Обычный 18 5 3 2" xfId="2890"/>
    <cellStyle name="Обычный 18 5 4" xfId="2891"/>
    <cellStyle name="Обычный 18 5 5" xfId="2892"/>
    <cellStyle name="Обычный 18 6" xfId="2893"/>
    <cellStyle name="Обычный 18 6 2" xfId="2894"/>
    <cellStyle name="Обычный 18 7" xfId="2895"/>
    <cellStyle name="Обычный 18 7 2" xfId="2896"/>
    <cellStyle name="Обычный 18 8" xfId="2897"/>
    <cellStyle name="Обычный 18 9" xfId="2898"/>
    <cellStyle name="Обычный 18_51,50_1 кв_общий" xfId="2899"/>
    <cellStyle name="Обычный 19" xfId="2900"/>
    <cellStyle name="Обычный 19 2" xfId="2901"/>
    <cellStyle name="Обычный 19 2 2" xfId="2902"/>
    <cellStyle name="Обычный 19 2 2 2" xfId="2903"/>
    <cellStyle name="Обычный 19 2 2 2 2" xfId="2904"/>
    <cellStyle name="Обычный 19 2 2 3" xfId="2905"/>
    <cellStyle name="Обычный 19 2 2 3 2" xfId="2906"/>
    <cellStyle name="Обычный 19 2 2 4" xfId="2907"/>
    <cellStyle name="Обычный 19 2 2 5" xfId="2908"/>
    <cellStyle name="Обычный 19 2 3" xfId="2909"/>
    <cellStyle name="Обычный 19 2 3 2" xfId="2910"/>
    <cellStyle name="Обычный 19 2 4" xfId="2911"/>
    <cellStyle name="Обычный 19 2 4 2" xfId="2912"/>
    <cellStyle name="Обычный 19 2 5" xfId="2913"/>
    <cellStyle name="Обычный 19 2 6" xfId="2914"/>
    <cellStyle name="Обычный 19 2 7" xfId="2915"/>
    <cellStyle name="Обычный 19 3" xfId="2916"/>
    <cellStyle name="Обычный 19 3 2" xfId="2917"/>
    <cellStyle name="Обычный 19 3 2 2" xfId="2918"/>
    <cellStyle name="Обычный 19 3 3" xfId="2919"/>
    <cellStyle name="Обычный 19 3 3 2" xfId="2920"/>
    <cellStyle name="Обычный 19 3 4" xfId="2921"/>
    <cellStyle name="Обычный 19 3 5" xfId="2922"/>
    <cellStyle name="Обычный 19 4" xfId="2923"/>
    <cellStyle name="Обычный 19 4 2" xfId="2924"/>
    <cellStyle name="Обычный 19 5" xfId="2925"/>
    <cellStyle name="Обычный 19 5 2" xfId="2926"/>
    <cellStyle name="Обычный 19 6" xfId="2927"/>
    <cellStyle name="Обычный 19 7" xfId="2928"/>
    <cellStyle name="Обычный 19 8" xfId="2929"/>
    <cellStyle name="Обычный 19_51,50_1 кв_общий" xfId="2930"/>
    <cellStyle name="Обычный 2" xfId="2931"/>
    <cellStyle name="Обычный 2 2" xfId="2932"/>
    <cellStyle name="Обычный 2 2 2" xfId="2933"/>
    <cellStyle name="Обычный 2 2 3" xfId="2934"/>
    <cellStyle name="Обычный 2 2 3 2" xfId="2935"/>
    <cellStyle name="Обычный 2 2 3 3" xfId="2936"/>
    <cellStyle name="Обычный 2 2 3 4" xfId="2937"/>
    <cellStyle name="Обычный 2 2 4" xfId="2938"/>
    <cellStyle name="Обычный 2 3" xfId="2939"/>
    <cellStyle name="Обычный 2 3 2" xfId="2940"/>
    <cellStyle name="Обычный 2 3 2 2" xfId="2941"/>
    <cellStyle name="Обычный 2 3 2 2 2" xfId="2942"/>
    <cellStyle name="Обычный 2 3 2 2 2 2" xfId="2943"/>
    <cellStyle name="Обычный 2 3 2 2 3" xfId="2944"/>
    <cellStyle name="Обычный 2 3 2 2 3 2" xfId="2945"/>
    <cellStyle name="Обычный 2 3 2 2 4" xfId="2946"/>
    <cellStyle name="Обычный 2 3 2 2 5" xfId="2947"/>
    <cellStyle name="Обычный 2 3 2 3" xfId="2948"/>
    <cellStyle name="Обычный 2 3 2 3 2" xfId="2949"/>
    <cellStyle name="Обычный 2 3 2 3 3" xfId="2950"/>
    <cellStyle name="Обычный 2 3 2 4" xfId="2951"/>
    <cellStyle name="Обычный 2 3 2 4 2" xfId="2952"/>
    <cellStyle name="Обычный 2 3 2 5" xfId="2953"/>
    <cellStyle name="Обычный 2 3 2 6" xfId="2954"/>
    <cellStyle name="Обычный 2 3 2 7" xfId="2955"/>
    <cellStyle name="Обычный 2 3 3" xfId="2956"/>
    <cellStyle name="Обычный 2 3 3 2" xfId="2957"/>
    <cellStyle name="Обычный 2 4" xfId="2958"/>
    <cellStyle name="Обычный 2 5" xfId="2959"/>
    <cellStyle name="Обычный 2 6" xfId="2960"/>
    <cellStyle name="Обычный 2 7" xfId="2961"/>
    <cellStyle name="Обычный 2 7 2" xfId="2962"/>
    <cellStyle name="Обычный 2 7 2 2" xfId="2963"/>
    <cellStyle name="Обычный 2 7 3" xfId="2964"/>
    <cellStyle name="Обычный 2 8" xfId="2965"/>
    <cellStyle name="Обычный 2 8 2" xfId="2966"/>
    <cellStyle name="Обычный 2 8 2 2" xfId="2967"/>
    <cellStyle name="Обычный 2 8 3" xfId="2968"/>
    <cellStyle name="Обычный 2_Канц предст нов год (8)" xfId="2969"/>
    <cellStyle name="Обычный 20" xfId="2970"/>
    <cellStyle name="Обычный 21" xfId="2971"/>
    <cellStyle name="Обычный 21 2" xfId="2972"/>
    <cellStyle name="Обычный 21 2 2" xfId="2973"/>
    <cellStyle name="Обычный 21 2 2 2" xfId="2974"/>
    <cellStyle name="Обычный 21 2 2 2 2" xfId="2975"/>
    <cellStyle name="Обычный 21 2 2 2 2 2" xfId="2976"/>
    <cellStyle name="Обычный 21 2 2 2 3" xfId="2977"/>
    <cellStyle name="Обычный 21 2 2 2 4" xfId="2978"/>
    <cellStyle name="Обычный 21 2 2 2 5" xfId="2979"/>
    <cellStyle name="Обычный 21 2 2 3" xfId="2980"/>
    <cellStyle name="Обычный 21 2 2 3 2" xfId="2981"/>
    <cellStyle name="Обычный 21 2 2 4" xfId="2982"/>
    <cellStyle name="Обычный 21 2 2 5" xfId="2983"/>
    <cellStyle name="Обычный 21 2 2 6" xfId="2984"/>
    <cellStyle name="Обычный 21 2 3" xfId="2985"/>
    <cellStyle name="Обычный 21 2 3 2" xfId="2986"/>
    <cellStyle name="Обычный 21 2 3 2 2" xfId="2987"/>
    <cellStyle name="Обычный 21 2 3 3" xfId="2988"/>
    <cellStyle name="Обычный 21 2 3 4" xfId="2989"/>
    <cellStyle name="Обычный 21 2 3 5" xfId="2990"/>
    <cellStyle name="Обычный 21 2 4" xfId="2991"/>
    <cellStyle name="Обычный 21 2 4 2" xfId="2992"/>
    <cellStyle name="Обычный 21 2 5" xfId="2993"/>
    <cellStyle name="Обычный 21 2 6" xfId="2994"/>
    <cellStyle name="Обычный 21 2 7" xfId="2995"/>
    <cellStyle name="Обычный 21 2 8" xfId="2996"/>
    <cellStyle name="Обычный 21 3" xfId="2997"/>
    <cellStyle name="Обычный 21 3 2" xfId="2998"/>
    <cellStyle name="Обычный 21 3 2 2" xfId="2999"/>
    <cellStyle name="Обычный 21 3 3" xfId="3000"/>
    <cellStyle name="Обычный 21 3 3 2" xfId="3001"/>
    <cellStyle name="Обычный 21 3 4" xfId="3002"/>
    <cellStyle name="Обычный 21 3 5" xfId="3003"/>
    <cellStyle name="Обычный 21 4" xfId="3004"/>
    <cellStyle name="Обычный 21 4 2" xfId="3005"/>
    <cellStyle name="Обычный 21 5" xfId="3006"/>
    <cellStyle name="Обычный 21 5 2" xfId="3007"/>
    <cellStyle name="Обычный 21 6" xfId="3008"/>
    <cellStyle name="Обычный 21 7" xfId="3009"/>
    <cellStyle name="Обычный 21 8" xfId="3010"/>
    <cellStyle name="Обычный 21_51,50_1 кв_общий" xfId="3011"/>
    <cellStyle name="Обычный 22" xfId="3012"/>
    <cellStyle name="Обычный 22 2" xfId="3013"/>
    <cellStyle name="Обычный 22 2 2" xfId="3014"/>
    <cellStyle name="Обычный 22 2 2 2" xfId="3015"/>
    <cellStyle name="Обычный 22 2 3" xfId="3016"/>
    <cellStyle name="Обычный 22 2 3 2" xfId="3017"/>
    <cellStyle name="Обычный 22 2 4" xfId="3018"/>
    <cellStyle name="Обычный 22 2 5" xfId="3019"/>
    <cellStyle name="Обычный 22 3" xfId="3020"/>
    <cellStyle name="Обычный 22 3 2" xfId="3021"/>
    <cellStyle name="Обычный 22 4" xfId="3022"/>
    <cellStyle name="Обычный 22 4 2" xfId="3023"/>
    <cellStyle name="Обычный 22 5" xfId="3024"/>
    <cellStyle name="Обычный 22 6" xfId="3025"/>
    <cellStyle name="Обычный 22 7" xfId="3026"/>
    <cellStyle name="Обычный 23" xfId="3027"/>
    <cellStyle name="Обычный 23 2" xfId="3028"/>
    <cellStyle name="Обычный 23 2 2" xfId="3029"/>
    <cellStyle name="Обычный 23 2 2 2" xfId="3030"/>
    <cellStyle name="Обычный 23 2 3" xfId="3031"/>
    <cellStyle name="Обычный 23 2 3 2" xfId="3032"/>
    <cellStyle name="Обычный 23 2 4" xfId="3033"/>
    <cellStyle name="Обычный 23 2 5" xfId="3034"/>
    <cellStyle name="Обычный 23 3" xfId="3035"/>
    <cellStyle name="Обычный 23 3 2" xfId="3036"/>
    <cellStyle name="Обычный 23 4" xfId="3037"/>
    <cellStyle name="Обычный 23 4 2" xfId="3038"/>
    <cellStyle name="Обычный 23 5" xfId="3039"/>
    <cellStyle name="Обычный 23 6" xfId="3040"/>
    <cellStyle name="Обычный 23 7" xfId="3041"/>
    <cellStyle name="Обычный 24" xfId="3042"/>
    <cellStyle name="Обычный 24 2" xfId="3043"/>
    <cellStyle name="Обычный 24 2 2" xfId="3044"/>
    <cellStyle name="Обычный 24 2 2 2" xfId="3045"/>
    <cellStyle name="Обычный 24 2 2 2 2" xfId="3046"/>
    <cellStyle name="Обычный 24 2 2 2 2 2" xfId="3047"/>
    <cellStyle name="Обычный 24 2 2 2 3" xfId="3048"/>
    <cellStyle name="Обычный 24 2 2 2 3 2" xfId="3049"/>
    <cellStyle name="Обычный 24 2 2 2 4" xfId="3050"/>
    <cellStyle name="Обычный 24 2 2 2 5" xfId="3051"/>
    <cellStyle name="Обычный 24 2 2 3" xfId="3052"/>
    <cellStyle name="Обычный 24 2 2 3 2" xfId="3053"/>
    <cellStyle name="Обычный 24 2 2 4" xfId="3054"/>
    <cellStyle name="Обычный 24 2 2 4 2" xfId="3055"/>
    <cellStyle name="Обычный 24 2 2 5" xfId="3056"/>
    <cellStyle name="Обычный 24 2 2 6" xfId="3057"/>
    <cellStyle name="Обычный 24 2 3" xfId="3058"/>
    <cellStyle name="Обычный 24 2 3 2" xfId="3059"/>
    <cellStyle name="Обычный 24 2 3 2 2" xfId="3060"/>
    <cellStyle name="Обычный 24 2 3 3" xfId="3061"/>
    <cellStyle name="Обычный 24 2 3 3 2" xfId="3062"/>
    <cellStyle name="Обычный 24 2 3 4" xfId="3063"/>
    <cellStyle name="Обычный 24 2 3 5" xfId="3064"/>
    <cellStyle name="Обычный 24 2 4" xfId="3065"/>
    <cellStyle name="Обычный 24 2 4 2" xfId="3066"/>
    <cellStyle name="Обычный 24 2 5" xfId="3067"/>
    <cellStyle name="Обычный 24 2 5 2" xfId="3068"/>
    <cellStyle name="Обычный 24 2 6" xfId="3069"/>
    <cellStyle name="Обычный 24 2 7" xfId="3070"/>
    <cellStyle name="Обычный 24 3" xfId="3071"/>
    <cellStyle name="Обычный 24 3 2" xfId="3072"/>
    <cellStyle name="Обычный 24 3 2 2" xfId="3073"/>
    <cellStyle name="Обычный 24 3 3" xfId="3074"/>
    <cellStyle name="Обычный 24 3 3 2" xfId="3075"/>
    <cellStyle name="Обычный 24 3 4" xfId="3076"/>
    <cellStyle name="Обычный 24 3 5" xfId="3077"/>
    <cellStyle name="Обычный 24 4" xfId="3078"/>
    <cellStyle name="Обычный 24 4 2" xfId="3079"/>
    <cellStyle name="Обычный 24 5" xfId="3080"/>
    <cellStyle name="Обычный 24 5 2" xfId="3081"/>
    <cellStyle name="Обычный 24 6" xfId="3082"/>
    <cellStyle name="Обычный 24 7" xfId="3083"/>
    <cellStyle name="Обычный 24 8" xfId="3084"/>
    <cellStyle name="Обычный 25" xfId="3085"/>
    <cellStyle name="Обычный 25 2" xfId="3086"/>
    <cellStyle name="Обычный 25 2 2" xfId="3087"/>
    <cellStyle name="Обычный 25 2 2 2" xfId="3088"/>
    <cellStyle name="Обычный 25 2 2 2 2" xfId="3089"/>
    <cellStyle name="Обычный 25 2 2 2 2 2" xfId="3090"/>
    <cellStyle name="Обычный 25 2 2 2 3" xfId="3091"/>
    <cellStyle name="Обычный 25 2 2 2 3 2" xfId="3092"/>
    <cellStyle name="Обычный 25 2 2 2 4" xfId="3093"/>
    <cellStyle name="Обычный 25 2 2 2 5" xfId="3094"/>
    <cellStyle name="Обычный 25 2 2 3" xfId="3095"/>
    <cellStyle name="Обычный 25 2 2 3 2" xfId="3096"/>
    <cellStyle name="Обычный 25 2 2 4" xfId="3097"/>
    <cellStyle name="Обычный 25 2 2 4 2" xfId="3098"/>
    <cellStyle name="Обычный 25 2 2 5" xfId="3099"/>
    <cellStyle name="Обычный 25 2 2 6" xfId="3100"/>
    <cellStyle name="Обычный 25 2 3" xfId="3101"/>
    <cellStyle name="Обычный 25 2 3 2" xfId="3102"/>
    <cellStyle name="Обычный 25 2 3 2 2" xfId="3103"/>
    <cellStyle name="Обычный 25 2 3 3" xfId="3104"/>
    <cellStyle name="Обычный 25 2 3 3 2" xfId="3105"/>
    <cellStyle name="Обычный 25 2 3 4" xfId="3106"/>
    <cellStyle name="Обычный 25 2 3 5" xfId="3107"/>
    <cellStyle name="Обычный 25 2 4" xfId="3108"/>
    <cellStyle name="Обычный 25 2 4 2" xfId="3109"/>
    <cellStyle name="Обычный 25 2 5" xfId="3110"/>
    <cellStyle name="Обычный 25 2 5 2" xfId="3111"/>
    <cellStyle name="Обычный 25 2 6" xfId="3112"/>
    <cellStyle name="Обычный 25 2 7" xfId="3113"/>
    <cellStyle name="Обычный 25 3" xfId="3114"/>
    <cellStyle name="Обычный 25 3 2" xfId="3115"/>
    <cellStyle name="Обычный 25 3 2 2" xfId="3116"/>
    <cellStyle name="Обычный 25 3 3" xfId="3117"/>
    <cellStyle name="Обычный 25 3 3 2" xfId="3118"/>
    <cellStyle name="Обычный 25 3 4" xfId="3119"/>
    <cellStyle name="Обычный 25 3 5" xfId="3120"/>
    <cellStyle name="Обычный 25 4" xfId="3121"/>
    <cellStyle name="Обычный 25 4 2" xfId="3122"/>
    <cellStyle name="Обычный 25 5" xfId="3123"/>
    <cellStyle name="Обычный 25 5 2" xfId="3124"/>
    <cellStyle name="Обычный 25 6" xfId="3125"/>
    <cellStyle name="Обычный 25 7" xfId="3126"/>
    <cellStyle name="Обычный 25 8" xfId="3127"/>
    <cellStyle name="Обычный 26" xfId="3128"/>
    <cellStyle name="Обычный 26 2" xfId="3129"/>
    <cellStyle name="Обычный 26 2 2" xfId="3130"/>
    <cellStyle name="Обычный 26 2 2 2" xfId="3131"/>
    <cellStyle name="Обычный 26 2 2 2 2" xfId="3132"/>
    <cellStyle name="Обычный 26 2 2 2 2 2" xfId="3133"/>
    <cellStyle name="Обычный 26 2 2 2 3" xfId="3134"/>
    <cellStyle name="Обычный 26 2 2 2 3 2" xfId="3135"/>
    <cellStyle name="Обычный 26 2 2 2 4" xfId="3136"/>
    <cellStyle name="Обычный 26 2 2 2 5" xfId="3137"/>
    <cellStyle name="Обычный 26 2 2 3" xfId="3138"/>
    <cellStyle name="Обычный 26 2 2 3 2" xfId="3139"/>
    <cellStyle name="Обычный 26 2 2 4" xfId="3140"/>
    <cellStyle name="Обычный 26 2 2 4 2" xfId="3141"/>
    <cellStyle name="Обычный 26 2 2 5" xfId="3142"/>
    <cellStyle name="Обычный 26 2 2 6" xfId="3143"/>
    <cellStyle name="Обычный 26 2 3" xfId="3144"/>
    <cellStyle name="Обычный 26 2 3 2" xfId="3145"/>
    <cellStyle name="Обычный 26 2 3 2 2" xfId="3146"/>
    <cellStyle name="Обычный 26 2 3 3" xfId="3147"/>
    <cellStyle name="Обычный 26 2 3 3 2" xfId="3148"/>
    <cellStyle name="Обычный 26 2 3 4" xfId="3149"/>
    <cellStyle name="Обычный 26 2 3 5" xfId="3150"/>
    <cellStyle name="Обычный 26 2 4" xfId="3151"/>
    <cellStyle name="Обычный 26 2 4 2" xfId="3152"/>
    <cellStyle name="Обычный 26 2 5" xfId="3153"/>
    <cellStyle name="Обычный 26 2 5 2" xfId="3154"/>
    <cellStyle name="Обычный 26 2 6" xfId="3155"/>
    <cellStyle name="Обычный 26 2 7" xfId="3156"/>
    <cellStyle name="Обычный 26 3" xfId="3157"/>
    <cellStyle name="Обычный 26 3 2" xfId="3158"/>
    <cellStyle name="Обычный 26 3 2 2" xfId="3159"/>
    <cellStyle name="Обычный 26 3 3" xfId="3160"/>
    <cellStyle name="Обычный 26 3 3 2" xfId="3161"/>
    <cellStyle name="Обычный 26 3 4" xfId="3162"/>
    <cellStyle name="Обычный 26 3 5" xfId="3163"/>
    <cellStyle name="Обычный 26 4" xfId="3164"/>
    <cellStyle name="Обычный 26 4 2" xfId="3165"/>
    <cellStyle name="Обычный 26 5" xfId="3166"/>
    <cellStyle name="Обычный 26 5 2" xfId="3167"/>
    <cellStyle name="Обычный 26 6" xfId="3168"/>
    <cellStyle name="Обычный 26 7" xfId="3169"/>
    <cellStyle name="Обычный 26 8" xfId="3170"/>
    <cellStyle name="Обычный 27" xfId="3171"/>
    <cellStyle name="Обычный 27 2" xfId="3172"/>
    <cellStyle name="Обычный 28" xfId="3173"/>
    <cellStyle name="Обычный 29" xfId="3174"/>
    <cellStyle name="Обычный 3" xfId="3175"/>
    <cellStyle name="Обычный 3 2" xfId="3176"/>
    <cellStyle name="Обычный 3 2 2" xfId="3177"/>
    <cellStyle name="Обычный 3 3" xfId="3178"/>
    <cellStyle name="Обычный 3 4" xfId="3179"/>
    <cellStyle name="Обычный 3 5" xfId="3180"/>
    <cellStyle name="Обычный 30" xfId="3181"/>
    <cellStyle name="Обычный 31" xfId="3182"/>
    <cellStyle name="Обычный 32" xfId="3183"/>
    <cellStyle name="Обычный 32 2" xfId="3184"/>
    <cellStyle name="Обычный 32 2 2" xfId="3185"/>
    <cellStyle name="Обычный 32 2 2 2" xfId="3186"/>
    <cellStyle name="Обычный 32 2 2 2 2" xfId="3187"/>
    <cellStyle name="Обычный 32 2 2 2 2 2" xfId="3188"/>
    <cellStyle name="Обычный 32 2 2 2 3" xfId="3189"/>
    <cellStyle name="Обычный 32 2 2 2 3 2" xfId="3190"/>
    <cellStyle name="Обычный 32 2 2 2 4" xfId="3191"/>
    <cellStyle name="Обычный 32 2 2 2 5" xfId="3192"/>
    <cellStyle name="Обычный 32 2 2 3" xfId="3193"/>
    <cellStyle name="Обычный 32 2 2 3 2" xfId="3194"/>
    <cellStyle name="Обычный 32 2 2 4" xfId="3195"/>
    <cellStyle name="Обычный 32 2 2 4 2" xfId="3196"/>
    <cellStyle name="Обычный 32 2 2 5" xfId="3197"/>
    <cellStyle name="Обычный 32 2 2 6" xfId="3198"/>
    <cellStyle name="Обычный 32 2 3" xfId="3199"/>
    <cellStyle name="Обычный 32 2 3 2" xfId="3200"/>
    <cellStyle name="Обычный 32 2 3 2 2" xfId="3201"/>
    <cellStyle name="Обычный 32 2 3 3" xfId="3202"/>
    <cellStyle name="Обычный 32 2 3 3 2" xfId="3203"/>
    <cellStyle name="Обычный 32 2 3 4" xfId="3204"/>
    <cellStyle name="Обычный 32 2 3 5" xfId="3205"/>
    <cellStyle name="Обычный 32 2 4" xfId="3206"/>
    <cellStyle name="Обычный 32 2 4 2" xfId="3207"/>
    <cellStyle name="Обычный 32 2 5" xfId="3208"/>
    <cellStyle name="Обычный 32 2 5 2" xfId="3209"/>
    <cellStyle name="Обычный 32 2 6" xfId="3210"/>
    <cellStyle name="Обычный 32 2 7" xfId="3211"/>
    <cellStyle name="Обычный 33" xfId="3212"/>
    <cellStyle name="Обычный 33 2" xfId="3213"/>
    <cellStyle name="Обычный 33 2 2" xfId="3214"/>
    <cellStyle name="Обычный 33 2 2 2" xfId="3215"/>
    <cellStyle name="Обычный 33 2 2 2 2" xfId="3216"/>
    <cellStyle name="Обычный 33 2 2 2 2 2" xfId="3217"/>
    <cellStyle name="Обычный 33 2 2 2 3" xfId="3218"/>
    <cellStyle name="Обычный 33 2 2 2 3 2" xfId="3219"/>
    <cellStyle name="Обычный 33 2 2 2 4" xfId="3220"/>
    <cellStyle name="Обычный 33 2 2 2 5" xfId="3221"/>
    <cellStyle name="Обычный 33 2 2 3" xfId="3222"/>
    <cellStyle name="Обычный 33 2 2 3 2" xfId="3223"/>
    <cellStyle name="Обычный 33 2 2 4" xfId="3224"/>
    <cellStyle name="Обычный 33 2 2 4 2" xfId="3225"/>
    <cellStyle name="Обычный 33 2 2 5" xfId="3226"/>
    <cellStyle name="Обычный 33 2 2 6" xfId="3227"/>
    <cellStyle name="Обычный 33 2 3" xfId="3228"/>
    <cellStyle name="Обычный 33 2 3 2" xfId="3229"/>
    <cellStyle name="Обычный 33 2 3 2 2" xfId="3230"/>
    <cellStyle name="Обычный 33 2 3 3" xfId="3231"/>
    <cellStyle name="Обычный 33 2 3 3 2" xfId="3232"/>
    <cellStyle name="Обычный 33 2 3 4" xfId="3233"/>
    <cellStyle name="Обычный 33 2 3 5" xfId="3234"/>
    <cellStyle name="Обычный 33 2 4" xfId="3235"/>
    <cellStyle name="Обычный 33 2 4 2" xfId="3236"/>
    <cellStyle name="Обычный 33 2 5" xfId="3237"/>
    <cellStyle name="Обычный 33 2 5 2" xfId="3238"/>
    <cellStyle name="Обычный 33 2 6" xfId="3239"/>
    <cellStyle name="Обычный 33 2 7" xfId="3240"/>
    <cellStyle name="Обычный 34" xfId="3241"/>
    <cellStyle name="Обычный 34 2" xfId="3242"/>
    <cellStyle name="Обычный 34 2 2" xfId="3243"/>
    <cellStyle name="Обычный 34 2 2 2" xfId="3244"/>
    <cellStyle name="Обычный 34 2 2 2 2" xfId="3245"/>
    <cellStyle name="Обычный 34 2 2 3" xfId="3246"/>
    <cellStyle name="Обычный 34 2 2 3 2" xfId="3247"/>
    <cellStyle name="Обычный 34 2 2 4" xfId="3248"/>
    <cellStyle name="Обычный 34 2 2 5" xfId="3249"/>
    <cellStyle name="Обычный 34 2 3" xfId="3250"/>
    <cellStyle name="Обычный 34 2 3 2" xfId="3251"/>
    <cellStyle name="Обычный 34 2 4" xfId="3252"/>
    <cellStyle name="Обычный 34 2 4 2" xfId="3253"/>
    <cellStyle name="Обычный 34 2 5" xfId="3254"/>
    <cellStyle name="Обычный 34 2 6" xfId="3255"/>
    <cellStyle name="Обычный 35" xfId="3256"/>
    <cellStyle name="Обычный 36" xfId="3257"/>
    <cellStyle name="Обычный 37" xfId="3258"/>
    <cellStyle name="Обычный 38" xfId="3259"/>
    <cellStyle name="Обычный 39" xfId="3260"/>
    <cellStyle name="Обычный 4" xfId="3261"/>
    <cellStyle name="Обычный 4 2" xfId="3262"/>
    <cellStyle name="Обычный 4 2 2" xfId="3263"/>
    <cellStyle name="Обычный 4 2 2 2" xfId="3264"/>
    <cellStyle name="Обычный 4 2 2 2 2" xfId="3265"/>
    <cellStyle name="Обычный 4 2 2 2 2 2" xfId="3266"/>
    <cellStyle name="Обычный 4 2 2 2 3" xfId="3267"/>
    <cellStyle name="Обычный 4 2 2 2 3 2" xfId="3268"/>
    <cellStyle name="Обычный 4 2 2 2 4" xfId="3269"/>
    <cellStyle name="Обычный 4 2 2 2 5" xfId="3270"/>
    <cellStyle name="Обычный 4 2 2 3" xfId="3271"/>
    <cellStyle name="Обычный 4 2 2 3 2" xfId="3272"/>
    <cellStyle name="Обычный 4 2 2 4" xfId="3273"/>
    <cellStyle name="Обычный 4 2 2 4 2" xfId="3274"/>
    <cellStyle name="Обычный 4 2 2 5" xfId="3275"/>
    <cellStyle name="Обычный 4 2 2 6" xfId="3276"/>
    <cellStyle name="Обычный 4 2 2 7" xfId="3277"/>
    <cellStyle name="Обычный 4 2 3" xfId="3278"/>
    <cellStyle name="Обычный 4 2 3 2" xfId="3279"/>
    <cellStyle name="Обычный 4 2 3 2 2" xfId="3280"/>
    <cellStyle name="Обычный 4 2 3 3" xfId="3281"/>
    <cellStyle name="Обычный 4 2 3 3 2" xfId="3282"/>
    <cellStyle name="Обычный 4 2 3 4" xfId="3283"/>
    <cellStyle name="Обычный 4 2 3 5" xfId="3284"/>
    <cellStyle name="Обычный 4 2 4" xfId="3285"/>
    <cellStyle name="Обычный 4 2 4 2" xfId="3286"/>
    <cellStyle name="Обычный 4 2 5" xfId="3287"/>
    <cellStyle name="Обычный 4 2 5 2" xfId="3288"/>
    <cellStyle name="Обычный 4 2 6" xfId="3289"/>
    <cellStyle name="Обычный 4 2 7" xfId="3290"/>
    <cellStyle name="Обычный 4 2 8" xfId="3291"/>
    <cellStyle name="Обычный 4 2_51,50_1 кв_общий" xfId="3292"/>
    <cellStyle name="Обычный 4 3" xfId="3293"/>
    <cellStyle name="Обычный 4 4" xfId="3294"/>
    <cellStyle name="Обычный 4 5" xfId="3295"/>
    <cellStyle name="Обычный 4 6" xfId="3296"/>
    <cellStyle name="Обычный 4 7" xfId="3297"/>
    <cellStyle name="Обычный 4_51,50_1 кв_общий" xfId="3298"/>
    <cellStyle name="Обычный 40" xfId="3299"/>
    <cellStyle name="Обычный 41" xfId="3300"/>
    <cellStyle name="Обычный 42" xfId="3301"/>
    <cellStyle name="Обычный 43" xfId="3302"/>
    <cellStyle name="Обычный 44" xfId="3303"/>
    <cellStyle name="Обычный 45" xfId="3304"/>
    <cellStyle name="Обычный 46" xfId="3305"/>
    <cellStyle name="Обычный 47" xfId="3306"/>
    <cellStyle name="Обычный 48" xfId="3307"/>
    <cellStyle name="Обычный 49" xfId="3308"/>
    <cellStyle name="Обычный 5" xfId="3309"/>
    <cellStyle name="Обычный 5 2" xfId="3310"/>
    <cellStyle name="Обычный 5 3" xfId="3311"/>
    <cellStyle name="Обычный 50" xfId="3312"/>
    <cellStyle name="Обычный 51" xfId="3313"/>
    <cellStyle name="Обычный 52" xfId="3314"/>
    <cellStyle name="Обычный 53" xfId="3315"/>
    <cellStyle name="Обычный 53 2" xfId="3316"/>
    <cellStyle name="Обычный 54" xfId="3317"/>
    <cellStyle name="Обычный 55" xfId="3318"/>
    <cellStyle name="Обычный 56" xfId="3319"/>
    <cellStyle name="Обычный 57" xfId="3320"/>
    <cellStyle name="Обычный 58" xfId="3321"/>
    <cellStyle name="Обычный 59" xfId="3322"/>
    <cellStyle name="Обычный 6" xfId="3323"/>
    <cellStyle name="Обычный 6 2" xfId="3324"/>
    <cellStyle name="Обычный 60" xfId="3325"/>
    <cellStyle name="Обычный 61" xfId="3326"/>
    <cellStyle name="Обычный 62" xfId="3327"/>
    <cellStyle name="Обычный 63" xfId="3328"/>
    <cellStyle name="Обычный 64" xfId="3329"/>
    <cellStyle name="Обычный 65" xfId="3330"/>
    <cellStyle name="Обычный 65 2" xfId="3331"/>
    <cellStyle name="Обычный 65 2 2" xfId="3332"/>
    <cellStyle name="Обычный 65 2 2 2" xfId="3333"/>
    <cellStyle name="Обычный 65 2 3" xfId="3334"/>
    <cellStyle name="Обычный 65 2 3 2" xfId="3335"/>
    <cellStyle name="Обычный 65 2 4" xfId="3336"/>
    <cellStyle name="Обычный 65 2 5" xfId="3337"/>
    <cellStyle name="Обычный 65 3" xfId="3338"/>
    <cellStyle name="Обычный 65 3 2" xfId="3339"/>
    <cellStyle name="Обычный 65 4" xfId="3340"/>
    <cellStyle name="Обычный 65 4 2" xfId="3341"/>
    <cellStyle name="Обычный 65 5" xfId="3342"/>
    <cellStyle name="Обычный 65 6" xfId="3343"/>
    <cellStyle name="Обычный 65 7" xfId="3344"/>
    <cellStyle name="Обычный 66" xfId="3345"/>
    <cellStyle name="Обычный 66 2" xfId="3346"/>
    <cellStyle name="Обычный 66 2 2" xfId="3347"/>
    <cellStyle name="Обычный 66 2 2 2" xfId="3348"/>
    <cellStyle name="Обычный 66 2 2 2 2" xfId="3349"/>
    <cellStyle name="Обычный 66 2 2 3" xfId="3350"/>
    <cellStyle name="Обычный 66 2 2 3 2" xfId="3351"/>
    <cellStyle name="Обычный 66 2 2 4" xfId="3352"/>
    <cellStyle name="Обычный 66 2 2 5" xfId="3353"/>
    <cellStyle name="Обычный 66 2 3" xfId="3354"/>
    <cellStyle name="Обычный 66 2 3 2" xfId="3355"/>
    <cellStyle name="Обычный 66 2 4" xfId="3356"/>
    <cellStyle name="Обычный 66 2 4 2" xfId="3357"/>
    <cellStyle name="Обычный 66 2 5" xfId="3358"/>
    <cellStyle name="Обычный 66 2 6" xfId="3359"/>
    <cellStyle name="Обычный 66 3" xfId="3360"/>
    <cellStyle name="Обычный 66 3 2" xfId="3361"/>
    <cellStyle name="Обычный 66 3 2 2" xfId="3362"/>
    <cellStyle name="Обычный 66 3 2 2 2" xfId="3363"/>
    <cellStyle name="Обычный 66 3 2 3" xfId="3364"/>
    <cellStyle name="Обычный 66 3 2 3 2" xfId="3365"/>
    <cellStyle name="Обычный 66 3 2 4" xfId="3366"/>
    <cellStyle name="Обычный 66 3 2 5" xfId="3367"/>
    <cellStyle name="Обычный 66 3 3" xfId="3368"/>
    <cellStyle name="Обычный 66 3 3 2" xfId="3369"/>
    <cellStyle name="Обычный 66 3 4" xfId="3370"/>
    <cellStyle name="Обычный 66 3 4 2" xfId="3371"/>
    <cellStyle name="Обычный 66 3 5" xfId="3372"/>
    <cellStyle name="Обычный 66 3 6" xfId="3373"/>
    <cellStyle name="Обычный 66 4" xfId="3374"/>
    <cellStyle name="Обычный 66 4 2" xfId="3375"/>
    <cellStyle name="Обычный 66 4 2 2" xfId="3376"/>
    <cellStyle name="Обычный 66 4 2 2 2" xfId="3377"/>
    <cellStyle name="Обычный 66 4 2 3" xfId="3378"/>
    <cellStyle name="Обычный 66 4 2 4" xfId="3379"/>
    <cellStyle name="Обычный 66 4 2 5" xfId="3380"/>
    <cellStyle name="Обычный 66 4 3" xfId="3381"/>
    <cellStyle name="Обычный 66 4 3 2" xfId="3382"/>
    <cellStyle name="Обычный 66 4 4" xfId="3383"/>
    <cellStyle name="Обычный 66 4 5" xfId="3384"/>
    <cellStyle name="Обычный 66 4 6" xfId="3385"/>
    <cellStyle name="Обычный 66 5" xfId="3386"/>
    <cellStyle name="Обычный 66 5 2" xfId="3387"/>
    <cellStyle name="Обычный 66 5 2 2" xfId="3388"/>
    <cellStyle name="Обычный 66 5 3" xfId="3389"/>
    <cellStyle name="Обычный 66 5 4" xfId="3390"/>
    <cellStyle name="Обычный 66 5 5" xfId="3391"/>
    <cellStyle name="Обычный 66 6" xfId="3392"/>
    <cellStyle name="Обычный 66 6 2" xfId="3393"/>
    <cellStyle name="Обычный 66 7" xfId="3394"/>
    <cellStyle name="Обычный 66 8" xfId="3395"/>
    <cellStyle name="Обычный 66 9" xfId="3396"/>
    <cellStyle name="Обычный 67" xfId="3397"/>
    <cellStyle name="Обычный 67 2" xfId="3398"/>
    <cellStyle name="Обычный 67 2 2" xfId="3399"/>
    <cellStyle name="Обычный 67 2 2 2" xfId="3400"/>
    <cellStyle name="Обычный 67 2 3" xfId="3401"/>
    <cellStyle name="Обычный 67 2 3 2" xfId="3402"/>
    <cellStyle name="Обычный 67 2 4" xfId="3403"/>
    <cellStyle name="Обычный 67 2 5" xfId="3404"/>
    <cellStyle name="Обычный 67 3" xfId="3405"/>
    <cellStyle name="Обычный 67 3 2" xfId="3406"/>
    <cellStyle name="Обычный 67 4" xfId="3407"/>
    <cellStyle name="Обычный 67 4 2" xfId="3408"/>
    <cellStyle name="Обычный 67 5" xfId="3409"/>
    <cellStyle name="Обычный 67 6" xfId="3410"/>
    <cellStyle name="Обычный 68" xfId="3411"/>
    <cellStyle name="Обычный 68 2" xfId="3412"/>
    <cellStyle name="Обычный 68 2 2" xfId="3413"/>
    <cellStyle name="Обычный 68 2 2 2" xfId="3414"/>
    <cellStyle name="Обычный 68 2 3" xfId="3415"/>
    <cellStyle name="Обычный 68 2 3 2" xfId="3416"/>
    <cellStyle name="Обычный 68 2 4" xfId="3417"/>
    <cellStyle name="Обычный 68 2 5" xfId="3418"/>
    <cellStyle name="Обычный 68 3" xfId="3419"/>
    <cellStyle name="Обычный 68 3 2" xfId="3420"/>
    <cellStyle name="Обычный 68 4" xfId="3421"/>
    <cellStyle name="Обычный 68 4 2" xfId="3422"/>
    <cellStyle name="Обычный 68 5" xfId="3423"/>
    <cellStyle name="Обычный 68 6" xfId="3424"/>
    <cellStyle name="Обычный 69" xfId="3425"/>
    <cellStyle name="Обычный 69 2" xfId="3426"/>
    <cellStyle name="Обычный 69 2 2" xfId="3427"/>
    <cellStyle name="Обычный 69 2 2 2" xfId="3428"/>
    <cellStyle name="Обычный 69 2 3" xfId="3429"/>
    <cellStyle name="Обычный 69 2 3 2" xfId="3430"/>
    <cellStyle name="Обычный 69 2 4" xfId="3431"/>
    <cellStyle name="Обычный 69 2 5" xfId="3432"/>
    <cellStyle name="Обычный 69 3" xfId="3433"/>
    <cellStyle name="Обычный 69 3 2" xfId="3434"/>
    <cellStyle name="Обычный 69 4" xfId="3435"/>
    <cellStyle name="Обычный 69 4 2" xfId="3436"/>
    <cellStyle name="Обычный 69 5" xfId="3437"/>
    <cellStyle name="Обычный 69 6" xfId="3438"/>
    <cellStyle name="Обычный 7" xfId="3439"/>
    <cellStyle name="Обычный 7 2" xfId="3440"/>
    <cellStyle name="Обычный 7 2 2" xfId="3441"/>
    <cellStyle name="Обычный 7 2 2 2" xfId="3442"/>
    <cellStyle name="Обычный 7 2 2 2 2" xfId="3443"/>
    <cellStyle name="Обычный 7 2 2 2 2 2" xfId="3444"/>
    <cellStyle name="Обычный 7 2 2 2 2 2 2" xfId="3445"/>
    <cellStyle name="Обычный 7 2 2 2 2 3" xfId="3446"/>
    <cellStyle name="Обычный 7 2 2 2 2 3 2" xfId="3447"/>
    <cellStyle name="Обычный 7 2 2 2 2 4" xfId="3448"/>
    <cellStyle name="Обычный 7 2 2 2 2 5" xfId="3449"/>
    <cellStyle name="Обычный 7 2 2 2 3" xfId="3450"/>
    <cellStyle name="Обычный 7 2 2 2 3 2" xfId="3451"/>
    <cellStyle name="Обычный 7 2 2 2 4" xfId="3452"/>
    <cellStyle name="Обычный 7 2 2 2 4 2" xfId="3453"/>
    <cellStyle name="Обычный 7 2 2 2 5" xfId="3454"/>
    <cellStyle name="Обычный 7 2 2 2 6" xfId="3455"/>
    <cellStyle name="Обычный 7 2 2 2 7" xfId="3456"/>
    <cellStyle name="Обычный 7 2 2 3" xfId="3457"/>
    <cellStyle name="Обычный 7 2 2 3 2" xfId="3458"/>
    <cellStyle name="Обычный 7 2 2 3 2 2" xfId="3459"/>
    <cellStyle name="Обычный 7 2 2 3 3" xfId="3460"/>
    <cellStyle name="Обычный 7 2 2 3 3 2" xfId="3461"/>
    <cellStyle name="Обычный 7 2 2 3 4" xfId="3462"/>
    <cellStyle name="Обычный 7 2 2 3 5" xfId="3463"/>
    <cellStyle name="Обычный 7 2 2 4" xfId="3464"/>
    <cellStyle name="Обычный 7 2 2 4 2" xfId="3465"/>
    <cellStyle name="Обычный 7 2 2 5" xfId="3466"/>
    <cellStyle name="Обычный 7 2 2 5 2" xfId="3467"/>
    <cellStyle name="Обычный 7 2 2 6" xfId="3468"/>
    <cellStyle name="Обычный 7 2 2 7" xfId="3469"/>
    <cellStyle name="Обычный 7 2 2 8" xfId="3470"/>
    <cellStyle name="Обычный 7 2 2_51,50_1 кв_общий" xfId="3471"/>
    <cellStyle name="Обычный 7 2 3" xfId="3472"/>
    <cellStyle name="Обычный 7 2 3 2" xfId="3473"/>
    <cellStyle name="Обычный 7 2 3 2 2" xfId="3474"/>
    <cellStyle name="Обычный 7 2 3 2 2 2" xfId="3475"/>
    <cellStyle name="Обычный 7 2 3 2 3" xfId="3476"/>
    <cellStyle name="Обычный 7 2 3 2 3 2" xfId="3477"/>
    <cellStyle name="Обычный 7 2 3 2 4" xfId="3478"/>
    <cellStyle name="Обычный 7 2 3 2 5" xfId="3479"/>
    <cellStyle name="Обычный 7 2 3 3" xfId="3480"/>
    <cellStyle name="Обычный 7 2 3 3 2" xfId="3481"/>
    <cellStyle name="Обычный 7 2 3 4" xfId="3482"/>
    <cellStyle name="Обычный 7 2 3 4 2" xfId="3483"/>
    <cellStyle name="Обычный 7 2 3 5" xfId="3484"/>
    <cellStyle name="Обычный 7 2 3 6" xfId="3485"/>
    <cellStyle name="Обычный 7 2 3 7" xfId="3486"/>
    <cellStyle name="Обычный 7 2 4" xfId="3487"/>
    <cellStyle name="Обычный 7 2 4 2" xfId="3488"/>
    <cellStyle name="Обычный 7 2 4 2 2" xfId="3489"/>
    <cellStyle name="Обычный 7 2 4 3" xfId="3490"/>
    <cellStyle name="Обычный 7 2 4 3 2" xfId="3491"/>
    <cellStyle name="Обычный 7 2 4 4" xfId="3492"/>
    <cellStyle name="Обычный 7 2 4 5" xfId="3493"/>
    <cellStyle name="Обычный 7 2 5" xfId="3494"/>
    <cellStyle name="Обычный 7 2 5 2" xfId="3495"/>
    <cellStyle name="Обычный 7 2 6" xfId="3496"/>
    <cellStyle name="Обычный 7 2 6 2" xfId="3497"/>
    <cellStyle name="Обычный 7 2 7" xfId="3498"/>
    <cellStyle name="Обычный 7 2 8" xfId="3499"/>
    <cellStyle name="Обычный 7 2 9" xfId="3500"/>
    <cellStyle name="Обычный 7 2_51,50_1 кв_общий" xfId="3501"/>
    <cellStyle name="Обычный 7 3" xfId="3502"/>
    <cellStyle name="Обычный 7 3 2" xfId="3503"/>
    <cellStyle name="Обычный 7 3 2 2" xfId="3504"/>
    <cellStyle name="Обычный 7 3 2 2 2" xfId="3505"/>
    <cellStyle name="Обычный 7 3 2 2 2 2" xfId="3506"/>
    <cellStyle name="Обычный 7 3 2 2 3" xfId="3507"/>
    <cellStyle name="Обычный 7 3 2 2 3 2" xfId="3508"/>
    <cellStyle name="Обычный 7 3 2 2 4" xfId="3509"/>
    <cellStyle name="Обычный 7 3 2 2 5" xfId="3510"/>
    <cellStyle name="Обычный 7 3 2 3" xfId="3511"/>
    <cellStyle name="Обычный 7 3 2 3 2" xfId="3512"/>
    <cellStyle name="Обычный 7 3 2 4" xfId="3513"/>
    <cellStyle name="Обычный 7 3 2 4 2" xfId="3514"/>
    <cellStyle name="Обычный 7 3 2 5" xfId="3515"/>
    <cellStyle name="Обычный 7 3 2 6" xfId="3516"/>
    <cellStyle name="Обычный 7 3 2 7" xfId="3517"/>
    <cellStyle name="Обычный 7 3 3" xfId="3518"/>
    <cellStyle name="Обычный 7 3 3 2" xfId="3519"/>
    <cellStyle name="Обычный 7 3 3 2 2" xfId="3520"/>
    <cellStyle name="Обычный 7 3 3 2 2 2" xfId="3521"/>
    <cellStyle name="Обычный 7 3 3 2 3" xfId="3522"/>
    <cellStyle name="Обычный 7 3 3 2 4" xfId="3523"/>
    <cellStyle name="Обычный 7 3 3 2 5" xfId="3524"/>
    <cellStyle name="Обычный 7 3 3 3" xfId="3525"/>
    <cellStyle name="Обычный 7 3 3 3 2" xfId="3526"/>
    <cellStyle name="Обычный 7 3 3 4" xfId="3527"/>
    <cellStyle name="Обычный 7 3 3 4 2" xfId="3528"/>
    <cellStyle name="Обычный 7 3 3 5" xfId="3529"/>
    <cellStyle name="Обычный 7 3 3 6" xfId="3530"/>
    <cellStyle name="Обычный 7 3 4" xfId="3531"/>
    <cellStyle name="Обычный 7 3 4 2" xfId="3532"/>
    <cellStyle name="Обычный 7 3 4 2 2" xfId="3533"/>
    <cellStyle name="Обычный 7 3 4 3" xfId="3534"/>
    <cellStyle name="Обычный 7 3 4 4" xfId="3535"/>
    <cellStyle name="Обычный 7 3 4 5" xfId="3536"/>
    <cellStyle name="Обычный 7 3 5" xfId="3537"/>
    <cellStyle name="Обычный 7 3 5 2" xfId="3538"/>
    <cellStyle name="Обычный 7 3 6" xfId="3539"/>
    <cellStyle name="Обычный 7 3 7" xfId="3540"/>
    <cellStyle name="Обычный 7 3 8" xfId="3541"/>
    <cellStyle name="Обычный 7 3 9" xfId="3542"/>
    <cellStyle name="Обычный 7 3_51,50_1 кв_общий" xfId="3543"/>
    <cellStyle name="Обычный 7 4" xfId="3544"/>
    <cellStyle name="Обычный 7 4 2" xfId="3545"/>
    <cellStyle name="Обычный 7 4 2 2" xfId="3546"/>
    <cellStyle name="Обычный 7 4 2 2 2" xfId="3547"/>
    <cellStyle name="Обычный 7 4 2 2 2 2" xfId="3548"/>
    <cellStyle name="Обычный 7 4 2 2 3" xfId="3549"/>
    <cellStyle name="Обычный 7 4 2 2 3 2" xfId="3550"/>
    <cellStyle name="Обычный 7 4 2 2 4" xfId="3551"/>
    <cellStyle name="Обычный 7 4 2 2 5" xfId="3552"/>
    <cellStyle name="Обычный 7 4 2 3" xfId="3553"/>
    <cellStyle name="Обычный 7 4 2 3 2" xfId="3554"/>
    <cellStyle name="Обычный 7 4 2 4" xfId="3555"/>
    <cellStyle name="Обычный 7 4 2 4 2" xfId="3556"/>
    <cellStyle name="Обычный 7 4 2 5" xfId="3557"/>
    <cellStyle name="Обычный 7 4 2 6" xfId="3558"/>
    <cellStyle name="Обычный 7 4 2 7" xfId="3559"/>
    <cellStyle name="Обычный 7 4 3" xfId="3560"/>
    <cellStyle name="Обычный 7 4 3 2" xfId="3561"/>
    <cellStyle name="Обычный 7 4 3 2 2" xfId="3562"/>
    <cellStyle name="Обычный 7 4 3 2 2 2" xfId="3563"/>
    <cellStyle name="Обычный 7 4 3 2 3" xfId="3564"/>
    <cellStyle name="Обычный 7 4 3 2 4" xfId="3565"/>
    <cellStyle name="Обычный 7 4 3 2 5" xfId="3566"/>
    <cellStyle name="Обычный 7 4 3 3" xfId="3567"/>
    <cellStyle name="Обычный 7 4 3 3 2" xfId="3568"/>
    <cellStyle name="Обычный 7 4 3 4" xfId="3569"/>
    <cellStyle name="Обычный 7 4 3 4 2" xfId="3570"/>
    <cellStyle name="Обычный 7 4 3 5" xfId="3571"/>
    <cellStyle name="Обычный 7 4 3 6" xfId="3572"/>
    <cellStyle name="Обычный 7 4 4" xfId="3573"/>
    <cellStyle name="Обычный 7 4 4 2" xfId="3574"/>
    <cellStyle name="Обычный 7 4 4 2 2" xfId="3575"/>
    <cellStyle name="Обычный 7 4 4 3" xfId="3576"/>
    <cellStyle name="Обычный 7 4 4 4" xfId="3577"/>
    <cellStyle name="Обычный 7 4 4 5" xfId="3578"/>
    <cellStyle name="Обычный 7 4 5" xfId="3579"/>
    <cellStyle name="Обычный 7 4 5 2" xfId="3580"/>
    <cellStyle name="Обычный 7 4 6" xfId="3581"/>
    <cellStyle name="Обычный 7 4 7" xfId="3582"/>
    <cellStyle name="Обычный 7 4 8" xfId="3583"/>
    <cellStyle name="Обычный 7 4 9" xfId="3584"/>
    <cellStyle name="Обычный 7 4_51,50_1 кв_общий" xfId="3585"/>
    <cellStyle name="Обычный 7 5" xfId="3586"/>
    <cellStyle name="Обычный 7 6" xfId="3587"/>
    <cellStyle name="Обычный 7 6 2" xfId="3588"/>
    <cellStyle name="Обычный 7 7" xfId="3589"/>
    <cellStyle name="Обычный 7 8" xfId="3590"/>
    <cellStyle name="Обычный 7 9" xfId="3591"/>
    <cellStyle name="Обычный 7_51,50_1 кв_общий" xfId="3592"/>
    <cellStyle name="Обычный 70" xfId="3593"/>
    <cellStyle name="Обычный 70 2" xfId="3594"/>
    <cellStyle name="Обычный 71" xfId="3595"/>
    <cellStyle name="Обычный 71 2" xfId="3596"/>
    <cellStyle name="Обычный 71 2 2" xfId="3597"/>
    <cellStyle name="Обычный 71 2 2 2" xfId="3598"/>
    <cellStyle name="Обычный 71 2 2 2 2" xfId="3599"/>
    <cellStyle name="Обычный 71 2 2 3" xfId="3600"/>
    <cellStyle name="Обычный 71 2 2 4" xfId="3601"/>
    <cellStyle name="Обычный 71 2 2 5" xfId="3602"/>
    <cellStyle name="Обычный 71 2 3" xfId="3603"/>
    <cellStyle name="Обычный 71 2 3 2" xfId="3604"/>
    <cellStyle name="Обычный 71 2 4" xfId="3605"/>
    <cellStyle name="Обычный 71 2 5" xfId="3606"/>
    <cellStyle name="Обычный 71 2 6" xfId="3607"/>
    <cellStyle name="Обычный 71 3" xfId="3608"/>
    <cellStyle name="Обычный 71 3 2" xfId="3609"/>
    <cellStyle name="Обычный 71 3 2 2" xfId="3610"/>
    <cellStyle name="Обычный 71 3 3" xfId="3611"/>
    <cellStyle name="Обычный 71 3 4" xfId="3612"/>
    <cellStyle name="Обычный 71 3 5" xfId="3613"/>
    <cellStyle name="Обычный 71 4" xfId="3614"/>
    <cellStyle name="Обычный 71 4 2" xfId="3615"/>
    <cellStyle name="Обычный 71 5" xfId="3616"/>
    <cellStyle name="Обычный 71 6" xfId="3617"/>
    <cellStyle name="Обычный 71 7" xfId="3618"/>
    <cellStyle name="Обычный 72" xfId="3619"/>
    <cellStyle name="Обычный 72 2" xfId="3620"/>
    <cellStyle name="Обычный 72 2 2" xfId="3621"/>
    <cellStyle name="Обычный 72 2 2 2" xfId="3622"/>
    <cellStyle name="Обычный 72 2 3" xfId="3623"/>
    <cellStyle name="Обычный 72 2 3 2" xfId="3624"/>
    <cellStyle name="Обычный 72 2 4" xfId="3625"/>
    <cellStyle name="Обычный 72 2 5" xfId="3626"/>
    <cellStyle name="Обычный 72 3" xfId="3627"/>
    <cellStyle name="Обычный 72 3 2" xfId="3628"/>
    <cellStyle name="Обычный 72 4" xfId="3629"/>
    <cellStyle name="Обычный 72 4 2" xfId="3630"/>
    <cellStyle name="Обычный 72 5" xfId="3631"/>
    <cellStyle name="Обычный 72 6" xfId="3632"/>
    <cellStyle name="Обычный 73" xfId="3633"/>
    <cellStyle name="Обычный 73 2" xfId="3634"/>
    <cellStyle name="Обычный 73 2 2" xfId="3635"/>
    <cellStyle name="Обычный 73 2 2 2" xfId="3636"/>
    <cellStyle name="Обычный 73 2 3" xfId="3637"/>
    <cellStyle name="Обычный 73 2 4" xfId="3638"/>
    <cellStyle name="Обычный 73 2 5" xfId="3639"/>
    <cellStyle name="Обычный 73 3" xfId="3640"/>
    <cellStyle name="Обычный 73 3 2" xfId="3641"/>
    <cellStyle name="Обычный 73 3 2 2" xfId="3642"/>
    <cellStyle name="Обычный 73 3 2 2 2" xfId="3643"/>
    <cellStyle name="Обычный 73 3 2 2 3" xfId="3644"/>
    <cellStyle name="Обычный 73 3 2 3" xfId="3645"/>
    <cellStyle name="Обычный 73 3 2 4" xfId="3646"/>
    <cellStyle name="Обычный 73 3 2 5" xfId="3647"/>
    <cellStyle name="Обычный 73 3 3" xfId="3648"/>
    <cellStyle name="Обычный 73 3 3 2" xfId="3649"/>
    <cellStyle name="Обычный 73 3 4" xfId="3650"/>
    <cellStyle name="Обычный 73 3 5" xfId="3651"/>
    <cellStyle name="Обычный 73 3 6" xfId="3652"/>
    <cellStyle name="Обычный 73 4" xfId="3653"/>
    <cellStyle name="Обычный 73 4 2" xfId="3654"/>
    <cellStyle name="Обычный 73 5" xfId="3655"/>
    <cellStyle name="Обычный 73 6" xfId="3656"/>
    <cellStyle name="Обычный 73 7" xfId="3657"/>
    <cellStyle name="Обычный 74" xfId="3658"/>
    <cellStyle name="Обычный 74 2" xfId="3659"/>
    <cellStyle name="Обычный 74 2 2" xfId="3660"/>
    <cellStyle name="Обычный 74 3" xfId="3661"/>
    <cellStyle name="Обычный 74 4" xfId="3662"/>
    <cellStyle name="Обычный 74 5" xfId="3663"/>
    <cellStyle name="Обычный 75" xfId="3664"/>
    <cellStyle name="Обычный 75 2" xfId="3665"/>
    <cellStyle name="Обычный 75 2 2" xfId="3666"/>
    <cellStyle name="Обычный 75 3" xfId="3667"/>
    <cellStyle name="Обычный 75 4" xfId="3668"/>
    <cellStyle name="Обычный 75 5" xfId="3669"/>
    <cellStyle name="Обычный 76" xfId="3670"/>
    <cellStyle name="Обычный 76 2" xfId="3671"/>
    <cellStyle name="Обычный 76 3" xfId="3672"/>
    <cellStyle name="Обычный 76 4" xfId="3673"/>
    <cellStyle name="Обычный 76 5" xfId="3674"/>
    <cellStyle name="Обычный 77" xfId="3675"/>
    <cellStyle name="Обычный 77 2" xfId="3676"/>
    <cellStyle name="Обычный 77 2 2" xfId="3677"/>
    <cellStyle name="Обычный 77 2 2 2" xfId="3678"/>
    <cellStyle name="Обычный 77 2 3" xfId="3679"/>
    <cellStyle name="Обычный 77 3" xfId="3680"/>
    <cellStyle name="Обычный 77 4" xfId="3681"/>
    <cellStyle name="Обычный 78" xfId="3682"/>
    <cellStyle name="Обычный 78 2" xfId="3683"/>
    <cellStyle name="Обычный 78 2 2" xfId="3684"/>
    <cellStyle name="Обычный 78 3" xfId="3685"/>
    <cellStyle name="Обычный 79" xfId="3686"/>
    <cellStyle name="Обычный 79 2" xfId="3687"/>
    <cellStyle name="Обычный 79 3" xfId="3688"/>
    <cellStyle name="Обычный 8" xfId="3689"/>
    <cellStyle name="Обычный 8 2" xfId="3690"/>
    <cellStyle name="Обычный 8 3" xfId="3691"/>
    <cellStyle name="Обычный 8 3 2" xfId="3692"/>
    <cellStyle name="Обычный 8 4" xfId="3693"/>
    <cellStyle name="Обычный 8 4 2" xfId="3694"/>
    <cellStyle name="Обычный 8 4 2 2" xfId="3695"/>
    <cellStyle name="Обычный 8 4 2 2 2" xfId="3696"/>
    <cellStyle name="Обычный 8 4 2 3" xfId="3697"/>
    <cellStyle name="Обычный 8 5" xfId="3698"/>
    <cellStyle name="Обычный 8 5 2" xfId="3699"/>
    <cellStyle name="Обычный 8 5 2 2" xfId="3700"/>
    <cellStyle name="Обычный 8 5 3" xfId="3701"/>
    <cellStyle name="Обычный 8 5 4" xfId="3702"/>
    <cellStyle name="Обычный 8 5 5" xfId="3703"/>
    <cellStyle name="Обычный 80" xfId="3704"/>
    <cellStyle name="Обычный 80 2" xfId="3705"/>
    <cellStyle name="Обычный 81" xfId="3706"/>
    <cellStyle name="Обычный 82" xfId="3707"/>
    <cellStyle name="Обычный 83" xfId="3708"/>
    <cellStyle name="Обычный 84" xfId="3709"/>
    <cellStyle name="Обычный 85" xfId="3710"/>
    <cellStyle name="Обычный 86" xfId="3711"/>
    <cellStyle name="Обычный 87" xfId="3712"/>
    <cellStyle name="Обычный 88" xfId="3713"/>
    <cellStyle name="Обычный 89" xfId="3714"/>
    <cellStyle name="Обычный 9" xfId="3715"/>
    <cellStyle name="Обычный 9 2" xfId="3716"/>
    <cellStyle name="Обычный 9 2 2" xfId="3717"/>
    <cellStyle name="Обычный 9 3" xfId="3718"/>
    <cellStyle name="Обычный 9 4" xfId="3719"/>
    <cellStyle name="Обычный 9 4 2" xfId="3720"/>
    <cellStyle name="Обычный 9 4 2 2" xfId="3721"/>
    <cellStyle name="Обычный 9 4 3" xfId="3722"/>
    <cellStyle name="Обычный 9 5" xfId="3723"/>
    <cellStyle name="Обычный 9 6" xfId="3724"/>
    <cellStyle name="Обычный 9 7" xfId="3725"/>
    <cellStyle name="Обычный 90" xfId="3726"/>
    <cellStyle name="Обычный_5_А_2007_ЮЖНОЕ_N_ДР_АКТЫ" xfId="3727"/>
    <cellStyle name="Обычный_бюджет 2008 (11.02.08) на утверждение" xfId="3728"/>
    <cellStyle name="Обычный_бюджет 2008 (11.02.08) на утверждение 2" xfId="3729"/>
    <cellStyle name="Обычный_Лист1" xfId="3730"/>
    <cellStyle name="Обычный_Паркинг ЮЗ10Б2" xfId="3731"/>
    <cellStyle name="Обычный_тарифы город=факт" xfId="3732"/>
    <cellStyle name="Плохой 10" xfId="3733"/>
    <cellStyle name="Плохой 11" xfId="3734"/>
    <cellStyle name="Плохой 12" xfId="3735"/>
    <cellStyle name="Плохой 13" xfId="3736"/>
    <cellStyle name="Плохой 14" xfId="3737"/>
    <cellStyle name="Плохой 15" xfId="3738"/>
    <cellStyle name="Плохой 16" xfId="3739"/>
    <cellStyle name="Плохой 17" xfId="3740"/>
    <cellStyle name="Плохой 18" xfId="3741"/>
    <cellStyle name="Плохой 19" xfId="3742"/>
    <cellStyle name="Плохой 2" xfId="3743"/>
    <cellStyle name="Плохой 20" xfId="3744"/>
    <cellStyle name="Плохой 21" xfId="3745"/>
    <cellStyle name="Плохой 22" xfId="3746"/>
    <cellStyle name="Плохой 23" xfId="3747"/>
    <cellStyle name="Плохой 24" xfId="3748"/>
    <cellStyle name="Плохой 25" xfId="3749"/>
    <cellStyle name="Плохой 26" xfId="3750"/>
    <cellStyle name="Плохой 27" xfId="3751"/>
    <cellStyle name="Плохой 28" xfId="3752"/>
    <cellStyle name="Плохой 29" xfId="3753"/>
    <cellStyle name="Плохой 3" xfId="3754"/>
    <cellStyle name="Плохой 30" xfId="3755"/>
    <cellStyle name="Плохой 31" xfId="3756"/>
    <cellStyle name="Плохой 32" xfId="3757"/>
    <cellStyle name="Плохой 33" xfId="3758"/>
    <cellStyle name="Плохой 34" xfId="3759"/>
    <cellStyle name="Плохой 35" xfId="3760"/>
    <cellStyle name="Плохой 36" xfId="3761"/>
    <cellStyle name="Плохой 37" xfId="3762"/>
    <cellStyle name="Плохой 38" xfId="3763"/>
    <cellStyle name="Плохой 39" xfId="3764"/>
    <cellStyle name="Плохой 4" xfId="3765"/>
    <cellStyle name="Плохой 40" xfId="3766"/>
    <cellStyle name="Плохой 41" xfId="3767"/>
    <cellStyle name="Плохой 42" xfId="3768"/>
    <cellStyle name="Плохой 43" xfId="3769"/>
    <cellStyle name="Плохой 44" xfId="3770"/>
    <cellStyle name="Плохой 45" xfId="3771"/>
    <cellStyle name="Плохой 46" xfId="3772"/>
    <cellStyle name="Плохой 47" xfId="3773"/>
    <cellStyle name="Плохой 48" xfId="3774"/>
    <cellStyle name="Плохой 49" xfId="3775"/>
    <cellStyle name="Плохой 5" xfId="3776"/>
    <cellStyle name="Плохой 50" xfId="3777"/>
    <cellStyle name="Плохой 51" xfId="3778"/>
    <cellStyle name="Плохой 52" xfId="3779"/>
    <cellStyle name="Плохой 53" xfId="3780"/>
    <cellStyle name="Плохой 54" xfId="3781"/>
    <cellStyle name="Плохой 55" xfId="3782"/>
    <cellStyle name="Плохой 56" xfId="3783"/>
    <cellStyle name="Плохой 57" xfId="3784"/>
    <cellStyle name="Плохой 58" xfId="3785"/>
    <cellStyle name="Плохой 59" xfId="3786"/>
    <cellStyle name="Плохой 6" xfId="3787"/>
    <cellStyle name="Плохой 60" xfId="3788"/>
    <cellStyle name="Плохой 61" xfId="3789"/>
    <cellStyle name="Плохой 62" xfId="3790"/>
    <cellStyle name="Плохой 63" xfId="3791"/>
    <cellStyle name="Плохой 7" xfId="3792"/>
    <cellStyle name="Плохой 8" xfId="3793"/>
    <cellStyle name="Плохой 9" xfId="3794"/>
    <cellStyle name="Пояснение 10" xfId="3795"/>
    <cellStyle name="Пояснение 11" xfId="3796"/>
    <cellStyle name="Пояснение 12" xfId="3797"/>
    <cellStyle name="Пояснение 13" xfId="3798"/>
    <cellStyle name="Пояснение 14" xfId="3799"/>
    <cellStyle name="Пояснение 15" xfId="3800"/>
    <cellStyle name="Пояснение 16" xfId="3801"/>
    <cellStyle name="Пояснение 17" xfId="3802"/>
    <cellStyle name="Пояснение 18" xfId="3803"/>
    <cellStyle name="Пояснение 19" xfId="3804"/>
    <cellStyle name="Пояснение 2" xfId="3805"/>
    <cellStyle name="Пояснение 20" xfId="3806"/>
    <cellStyle name="Пояснение 21" xfId="3807"/>
    <cellStyle name="Пояснение 22" xfId="3808"/>
    <cellStyle name="Пояснение 23" xfId="3809"/>
    <cellStyle name="Пояснение 24" xfId="3810"/>
    <cellStyle name="Пояснение 25" xfId="3811"/>
    <cellStyle name="Пояснение 26" xfId="3812"/>
    <cellStyle name="Пояснение 27" xfId="3813"/>
    <cellStyle name="Пояснение 28" xfId="3814"/>
    <cellStyle name="Пояснение 29" xfId="3815"/>
    <cellStyle name="Пояснение 3" xfId="3816"/>
    <cellStyle name="Пояснение 30" xfId="3817"/>
    <cellStyle name="Пояснение 31" xfId="3818"/>
    <cellStyle name="Пояснение 32" xfId="3819"/>
    <cellStyle name="Пояснение 33" xfId="3820"/>
    <cellStyle name="Пояснение 34" xfId="3821"/>
    <cellStyle name="Пояснение 35" xfId="3822"/>
    <cellStyle name="Пояснение 36" xfId="3823"/>
    <cellStyle name="Пояснение 37" xfId="3824"/>
    <cellStyle name="Пояснение 38" xfId="3825"/>
    <cellStyle name="Пояснение 39" xfId="3826"/>
    <cellStyle name="Пояснение 4" xfId="3827"/>
    <cellStyle name="Пояснение 40" xfId="3828"/>
    <cellStyle name="Пояснение 41" xfId="3829"/>
    <cellStyle name="Пояснение 42" xfId="3830"/>
    <cellStyle name="Пояснение 43" xfId="3831"/>
    <cellStyle name="Пояснение 44" xfId="3832"/>
    <cellStyle name="Пояснение 45" xfId="3833"/>
    <cellStyle name="Пояснение 46" xfId="3834"/>
    <cellStyle name="Пояснение 47" xfId="3835"/>
    <cellStyle name="Пояснение 48" xfId="3836"/>
    <cellStyle name="Пояснение 49" xfId="3837"/>
    <cellStyle name="Пояснение 5" xfId="3838"/>
    <cellStyle name="Пояснение 50" xfId="3839"/>
    <cellStyle name="Пояснение 51" xfId="3840"/>
    <cellStyle name="Пояснение 52" xfId="3841"/>
    <cellStyle name="Пояснение 53" xfId="3842"/>
    <cellStyle name="Пояснение 54" xfId="3843"/>
    <cellStyle name="Пояснение 55" xfId="3844"/>
    <cellStyle name="Пояснение 56" xfId="3845"/>
    <cellStyle name="Пояснение 57" xfId="3846"/>
    <cellStyle name="Пояснение 58" xfId="3847"/>
    <cellStyle name="Пояснение 59" xfId="3848"/>
    <cellStyle name="Пояснение 6" xfId="3849"/>
    <cellStyle name="Пояснение 60" xfId="3850"/>
    <cellStyle name="Пояснение 61" xfId="3851"/>
    <cellStyle name="Пояснение 62" xfId="3852"/>
    <cellStyle name="Пояснение 63" xfId="3853"/>
    <cellStyle name="Пояснение 7" xfId="3854"/>
    <cellStyle name="Пояснение 8" xfId="3855"/>
    <cellStyle name="Пояснение 9" xfId="3856"/>
    <cellStyle name="Примечание 10" xfId="3857"/>
    <cellStyle name="Примечание 10 2" xfId="3858"/>
    <cellStyle name="Примечание 11" xfId="3859"/>
    <cellStyle name="Примечание 11 2" xfId="3860"/>
    <cellStyle name="Примечание 12" xfId="3861"/>
    <cellStyle name="Примечание 12 2" xfId="3862"/>
    <cellStyle name="Примечание 13" xfId="3863"/>
    <cellStyle name="Примечание 13 2" xfId="3864"/>
    <cellStyle name="Примечание 14" xfId="3865"/>
    <cellStyle name="Примечание 14 2" xfId="3866"/>
    <cellStyle name="Примечание 15" xfId="3867"/>
    <cellStyle name="Примечание 15 2" xfId="3868"/>
    <cellStyle name="Примечание 16" xfId="3869"/>
    <cellStyle name="Примечание 16 2" xfId="3870"/>
    <cellStyle name="Примечание 17" xfId="3871"/>
    <cellStyle name="Примечание 17 2" xfId="3872"/>
    <cellStyle name="Примечание 18" xfId="3873"/>
    <cellStyle name="Примечание 18 2" xfId="3874"/>
    <cellStyle name="Примечание 19" xfId="3875"/>
    <cellStyle name="Примечание 19 2" xfId="3876"/>
    <cellStyle name="Примечание 2" xfId="3877"/>
    <cellStyle name="Примечание 2 2" xfId="3878"/>
    <cellStyle name="Примечание 20" xfId="3879"/>
    <cellStyle name="Примечание 20 2" xfId="3880"/>
    <cellStyle name="Примечание 21" xfId="3881"/>
    <cellStyle name="Примечание 21 2" xfId="3882"/>
    <cellStyle name="Примечание 22" xfId="3883"/>
    <cellStyle name="Примечание 22 2" xfId="3884"/>
    <cellStyle name="Примечание 23" xfId="3885"/>
    <cellStyle name="Примечание 23 2" xfId="3886"/>
    <cellStyle name="Примечание 24" xfId="3887"/>
    <cellStyle name="Примечание 24 2" xfId="3888"/>
    <cellStyle name="Примечание 25" xfId="3889"/>
    <cellStyle name="Примечание 25 2" xfId="3890"/>
    <cellStyle name="Примечание 26" xfId="3891"/>
    <cellStyle name="Примечание 26 2" xfId="3892"/>
    <cellStyle name="Примечание 27" xfId="3893"/>
    <cellStyle name="Примечание 27 2" xfId="3894"/>
    <cellStyle name="Примечание 28" xfId="3895"/>
    <cellStyle name="Примечание 28 2" xfId="3896"/>
    <cellStyle name="Примечание 29" xfId="3897"/>
    <cellStyle name="Примечание 29 2" xfId="3898"/>
    <cellStyle name="Примечание 3" xfId="3899"/>
    <cellStyle name="Примечание 3 2" xfId="3900"/>
    <cellStyle name="Примечание 30" xfId="3901"/>
    <cellStyle name="Примечание 30 2" xfId="3902"/>
    <cellStyle name="Примечание 31" xfId="3903"/>
    <cellStyle name="Примечание 31 2" xfId="3904"/>
    <cellStyle name="Примечание 32" xfId="3905"/>
    <cellStyle name="Примечание 32 2" xfId="3906"/>
    <cellStyle name="Примечание 33" xfId="3907"/>
    <cellStyle name="Примечание 33 2" xfId="3908"/>
    <cellStyle name="Примечание 34" xfId="3909"/>
    <cellStyle name="Примечание 34 2" xfId="3910"/>
    <cellStyle name="Примечание 35" xfId="3911"/>
    <cellStyle name="Примечание 35 2" xfId="3912"/>
    <cellStyle name="Примечание 36" xfId="3913"/>
    <cellStyle name="Примечание 36 2" xfId="3914"/>
    <cellStyle name="Примечание 37" xfId="3915"/>
    <cellStyle name="Примечание 37 2" xfId="3916"/>
    <cellStyle name="Примечание 38" xfId="3917"/>
    <cellStyle name="Примечание 38 2" xfId="3918"/>
    <cellStyle name="Примечание 39" xfId="3919"/>
    <cellStyle name="Примечание 39 2" xfId="3920"/>
    <cellStyle name="Примечание 4" xfId="3921"/>
    <cellStyle name="Примечание 4 2" xfId="3922"/>
    <cellStyle name="Примечание 40" xfId="3923"/>
    <cellStyle name="Примечание 40 2" xfId="3924"/>
    <cellStyle name="Примечание 41" xfId="3925"/>
    <cellStyle name="Примечание 41 2" xfId="3926"/>
    <cellStyle name="Примечание 42" xfId="3927"/>
    <cellStyle name="Примечание 42 2" xfId="3928"/>
    <cellStyle name="Примечание 43" xfId="3929"/>
    <cellStyle name="Примечание 43 2" xfId="3930"/>
    <cellStyle name="Примечание 44" xfId="3931"/>
    <cellStyle name="Примечание 44 2" xfId="3932"/>
    <cellStyle name="Примечание 45" xfId="3933"/>
    <cellStyle name="Примечание 45 2" xfId="3934"/>
    <cellStyle name="Примечание 46" xfId="3935"/>
    <cellStyle name="Примечание 46 2" xfId="3936"/>
    <cellStyle name="Примечание 47" xfId="3937"/>
    <cellStyle name="Примечание 47 2" xfId="3938"/>
    <cellStyle name="Примечание 48" xfId="3939"/>
    <cellStyle name="Примечание 48 2" xfId="3940"/>
    <cellStyle name="Примечание 49" xfId="3941"/>
    <cellStyle name="Примечание 49 2" xfId="3942"/>
    <cellStyle name="Примечание 5" xfId="3943"/>
    <cellStyle name="Примечание 5 2" xfId="3944"/>
    <cellStyle name="Примечание 50" xfId="3945"/>
    <cellStyle name="Примечание 50 2" xfId="3946"/>
    <cellStyle name="Примечание 51" xfId="3947"/>
    <cellStyle name="Примечание 51 2" xfId="3948"/>
    <cellStyle name="Примечание 52" xfId="3949"/>
    <cellStyle name="Примечание 52 2" xfId="3950"/>
    <cellStyle name="Примечание 53" xfId="3951"/>
    <cellStyle name="Примечание 53 2" xfId="3952"/>
    <cellStyle name="Примечание 54" xfId="3953"/>
    <cellStyle name="Примечание 54 2" xfId="3954"/>
    <cellStyle name="Примечание 55" xfId="3955"/>
    <cellStyle name="Примечание 55 2" xfId="3956"/>
    <cellStyle name="Примечание 56" xfId="3957"/>
    <cellStyle name="Примечание 56 2" xfId="3958"/>
    <cellStyle name="Примечание 57" xfId="3959"/>
    <cellStyle name="Примечание 57 2" xfId="3960"/>
    <cellStyle name="Примечание 58" xfId="3961"/>
    <cellStyle name="Примечание 58 2" xfId="3962"/>
    <cellStyle name="Примечание 59" xfId="3963"/>
    <cellStyle name="Примечание 59 2" xfId="3964"/>
    <cellStyle name="Примечание 6" xfId="3965"/>
    <cellStyle name="Примечание 6 2" xfId="3966"/>
    <cellStyle name="Примечание 60" xfId="3967"/>
    <cellStyle name="Примечание 60 2" xfId="3968"/>
    <cellStyle name="Примечание 61" xfId="3969"/>
    <cellStyle name="Примечание 61 2" xfId="3970"/>
    <cellStyle name="Примечание 62" xfId="3971"/>
    <cellStyle name="Примечание 62 2" xfId="3972"/>
    <cellStyle name="Примечание 63" xfId="3973"/>
    <cellStyle name="Примечание 63 2" xfId="3974"/>
    <cellStyle name="Примечание 7" xfId="3975"/>
    <cellStyle name="Примечание 7 2" xfId="3976"/>
    <cellStyle name="Примечание 8" xfId="3977"/>
    <cellStyle name="Примечание 8 2" xfId="3978"/>
    <cellStyle name="Примечание 9" xfId="3979"/>
    <cellStyle name="Примечание 9 2" xfId="3980"/>
    <cellStyle name="Процентный 10" xfId="3981"/>
    <cellStyle name="Процентный 10 2" xfId="3982"/>
    <cellStyle name="Процентный 10 3" xfId="3983"/>
    <cellStyle name="Процентный 11" xfId="3984"/>
    <cellStyle name="Процентный 11 2" xfId="3985"/>
    <cellStyle name="Процентный 11 3" xfId="3986"/>
    <cellStyle name="Процентный 12" xfId="3987"/>
    <cellStyle name="Процентный 2" xfId="3988"/>
    <cellStyle name="Процентный 2 2" xfId="3989"/>
    <cellStyle name="Процентный 2 3" xfId="3990"/>
    <cellStyle name="Процентный 3" xfId="3991"/>
    <cellStyle name="Процентный 4" xfId="3992"/>
    <cellStyle name="Процентный 4 2" xfId="3993"/>
    <cellStyle name="Процентный 5" xfId="3994"/>
    <cellStyle name="Процентный 5 2" xfId="3995"/>
    <cellStyle name="Процентный 5 2 2" xfId="3996"/>
    <cellStyle name="Процентный 5 3" xfId="3997"/>
    <cellStyle name="Процентный 5 4" xfId="3998"/>
    <cellStyle name="Процентный 5 5" xfId="3999"/>
    <cellStyle name="Процентный 6" xfId="4000"/>
    <cellStyle name="Процентный 6 2" xfId="4001"/>
    <cellStyle name="Процентный 6 2 2" xfId="4002"/>
    <cellStyle name="Процентный 6 3" xfId="4003"/>
    <cellStyle name="Процентный 6 4" xfId="4004"/>
    <cellStyle name="Процентный 6 5" xfId="4005"/>
    <cellStyle name="Процентный 7" xfId="4006"/>
    <cellStyle name="Процентный 7 2" xfId="4007"/>
    <cellStyle name="Процентный 7 2 2" xfId="4008"/>
    <cellStyle name="Процентный 7 3" xfId="4009"/>
    <cellStyle name="Процентный 7 4" xfId="4010"/>
    <cellStyle name="Процентный 7 5" xfId="4011"/>
    <cellStyle name="Процентный 8" xfId="4012"/>
    <cellStyle name="Процентный 9" xfId="4013"/>
    <cellStyle name="Связанная ячейка 10" xfId="4014"/>
    <cellStyle name="Связанная ячейка 11" xfId="4015"/>
    <cellStyle name="Связанная ячейка 12" xfId="4016"/>
    <cellStyle name="Связанная ячейка 13" xfId="4017"/>
    <cellStyle name="Связанная ячейка 14" xfId="4018"/>
    <cellStyle name="Связанная ячейка 15" xfId="4019"/>
    <cellStyle name="Связанная ячейка 16" xfId="4020"/>
    <cellStyle name="Связанная ячейка 17" xfId="4021"/>
    <cellStyle name="Связанная ячейка 18" xfId="4022"/>
    <cellStyle name="Связанная ячейка 19" xfId="4023"/>
    <cellStyle name="Связанная ячейка 2" xfId="4024"/>
    <cellStyle name="Связанная ячейка 20" xfId="4025"/>
    <cellStyle name="Связанная ячейка 21" xfId="4026"/>
    <cellStyle name="Связанная ячейка 22" xfId="4027"/>
    <cellStyle name="Связанная ячейка 23" xfId="4028"/>
    <cellStyle name="Связанная ячейка 24" xfId="4029"/>
    <cellStyle name="Связанная ячейка 25" xfId="4030"/>
    <cellStyle name="Связанная ячейка 26" xfId="4031"/>
    <cellStyle name="Связанная ячейка 27" xfId="4032"/>
    <cellStyle name="Связанная ячейка 28" xfId="4033"/>
    <cellStyle name="Связанная ячейка 29" xfId="4034"/>
    <cellStyle name="Связанная ячейка 3" xfId="4035"/>
    <cellStyle name="Связанная ячейка 30" xfId="4036"/>
    <cellStyle name="Связанная ячейка 31" xfId="4037"/>
    <cellStyle name="Связанная ячейка 32" xfId="4038"/>
    <cellStyle name="Связанная ячейка 33" xfId="4039"/>
    <cellStyle name="Связанная ячейка 34" xfId="4040"/>
    <cellStyle name="Связанная ячейка 35" xfId="4041"/>
    <cellStyle name="Связанная ячейка 36" xfId="4042"/>
    <cellStyle name="Связанная ячейка 37" xfId="4043"/>
    <cellStyle name="Связанная ячейка 38" xfId="4044"/>
    <cellStyle name="Связанная ячейка 39" xfId="4045"/>
    <cellStyle name="Связанная ячейка 4" xfId="4046"/>
    <cellStyle name="Связанная ячейка 40" xfId="4047"/>
    <cellStyle name="Связанная ячейка 41" xfId="4048"/>
    <cellStyle name="Связанная ячейка 42" xfId="4049"/>
    <cellStyle name="Связанная ячейка 43" xfId="4050"/>
    <cellStyle name="Связанная ячейка 44" xfId="4051"/>
    <cellStyle name="Связанная ячейка 45" xfId="4052"/>
    <cellStyle name="Связанная ячейка 46" xfId="4053"/>
    <cellStyle name="Связанная ячейка 47" xfId="4054"/>
    <cellStyle name="Связанная ячейка 48" xfId="4055"/>
    <cellStyle name="Связанная ячейка 49" xfId="4056"/>
    <cellStyle name="Связанная ячейка 5" xfId="4057"/>
    <cellStyle name="Связанная ячейка 50" xfId="4058"/>
    <cellStyle name="Связанная ячейка 51" xfId="4059"/>
    <cellStyle name="Связанная ячейка 52" xfId="4060"/>
    <cellStyle name="Связанная ячейка 53" xfId="4061"/>
    <cellStyle name="Связанная ячейка 54" xfId="4062"/>
    <cellStyle name="Связанная ячейка 55" xfId="4063"/>
    <cellStyle name="Связанная ячейка 56" xfId="4064"/>
    <cellStyle name="Связанная ячейка 57" xfId="4065"/>
    <cellStyle name="Связанная ячейка 58" xfId="4066"/>
    <cellStyle name="Связанная ячейка 59" xfId="4067"/>
    <cellStyle name="Связанная ячейка 6" xfId="4068"/>
    <cellStyle name="Связанная ячейка 60" xfId="4069"/>
    <cellStyle name="Связанная ячейка 61" xfId="4070"/>
    <cellStyle name="Связанная ячейка 62" xfId="4071"/>
    <cellStyle name="Связанная ячейка 63" xfId="4072"/>
    <cellStyle name="Связанная ячейка 7" xfId="4073"/>
    <cellStyle name="Связанная ячейка 8" xfId="4074"/>
    <cellStyle name="Связанная ячейка 9" xfId="4075"/>
    <cellStyle name="Стиль 1" xfId="4076"/>
    <cellStyle name="Текст предупреждения 10" xfId="4077"/>
    <cellStyle name="Текст предупреждения 11" xfId="4078"/>
    <cellStyle name="Текст предупреждения 12" xfId="4079"/>
    <cellStyle name="Текст предупреждения 13" xfId="4080"/>
    <cellStyle name="Текст предупреждения 14" xfId="4081"/>
    <cellStyle name="Текст предупреждения 15" xfId="4082"/>
    <cellStyle name="Текст предупреждения 16" xfId="4083"/>
    <cellStyle name="Текст предупреждения 17" xfId="4084"/>
    <cellStyle name="Текст предупреждения 18" xfId="4085"/>
    <cellStyle name="Текст предупреждения 19" xfId="4086"/>
    <cellStyle name="Текст предупреждения 2" xfId="4087"/>
    <cellStyle name="Текст предупреждения 20" xfId="4088"/>
    <cellStyle name="Текст предупреждения 21" xfId="4089"/>
    <cellStyle name="Текст предупреждения 22" xfId="4090"/>
    <cellStyle name="Текст предупреждения 23" xfId="4091"/>
    <cellStyle name="Текст предупреждения 24" xfId="4092"/>
    <cellStyle name="Текст предупреждения 25" xfId="4093"/>
    <cellStyle name="Текст предупреждения 26" xfId="4094"/>
    <cellStyle name="Текст предупреждения 27" xfId="4095"/>
    <cellStyle name="Текст предупреждения 28" xfId="4096"/>
    <cellStyle name="Текст предупреждения 29" xfId="4097"/>
    <cellStyle name="Текст предупреждения 3" xfId="4098"/>
    <cellStyle name="Текст предупреждения 30" xfId="4099"/>
    <cellStyle name="Текст предупреждения 31" xfId="4100"/>
    <cellStyle name="Текст предупреждения 32" xfId="4101"/>
    <cellStyle name="Текст предупреждения 33" xfId="4102"/>
    <cellStyle name="Текст предупреждения 34" xfId="4103"/>
    <cellStyle name="Текст предупреждения 35" xfId="4104"/>
    <cellStyle name="Текст предупреждения 36" xfId="4105"/>
    <cellStyle name="Текст предупреждения 37" xfId="4106"/>
    <cellStyle name="Текст предупреждения 38" xfId="4107"/>
    <cellStyle name="Текст предупреждения 39" xfId="4108"/>
    <cellStyle name="Текст предупреждения 4" xfId="4109"/>
    <cellStyle name="Текст предупреждения 40" xfId="4110"/>
    <cellStyle name="Текст предупреждения 41" xfId="4111"/>
    <cellStyle name="Текст предупреждения 42" xfId="4112"/>
    <cellStyle name="Текст предупреждения 43" xfId="4113"/>
    <cellStyle name="Текст предупреждения 44" xfId="4114"/>
    <cellStyle name="Текст предупреждения 45" xfId="4115"/>
    <cellStyle name="Текст предупреждения 46" xfId="4116"/>
    <cellStyle name="Текст предупреждения 47" xfId="4117"/>
    <cellStyle name="Текст предупреждения 48" xfId="4118"/>
    <cellStyle name="Текст предупреждения 49" xfId="4119"/>
    <cellStyle name="Текст предупреждения 5" xfId="4120"/>
    <cellStyle name="Текст предупреждения 50" xfId="4121"/>
    <cellStyle name="Текст предупреждения 51" xfId="4122"/>
    <cellStyle name="Текст предупреждения 52" xfId="4123"/>
    <cellStyle name="Текст предупреждения 53" xfId="4124"/>
    <cellStyle name="Текст предупреждения 54" xfId="4125"/>
    <cellStyle name="Текст предупреждения 55" xfId="4126"/>
    <cellStyle name="Текст предупреждения 56" xfId="4127"/>
    <cellStyle name="Текст предупреждения 57" xfId="4128"/>
    <cellStyle name="Текст предупреждения 58" xfId="4129"/>
    <cellStyle name="Текст предупреждения 59" xfId="4130"/>
    <cellStyle name="Текст предупреждения 6" xfId="4131"/>
    <cellStyle name="Текст предупреждения 60" xfId="4132"/>
    <cellStyle name="Текст предупреждения 61" xfId="4133"/>
    <cellStyle name="Текст предупреждения 62" xfId="4134"/>
    <cellStyle name="Текст предупреждения 63" xfId="4135"/>
    <cellStyle name="Текст предупреждения 7" xfId="4136"/>
    <cellStyle name="Текст предупреждения 8" xfId="4137"/>
    <cellStyle name="Текст предупреждения 9" xfId="4138"/>
    <cellStyle name="Финансовый 2" xfId="4139"/>
    <cellStyle name="Финансовый 2 2" xfId="4140"/>
    <cellStyle name="Финансовый 2 2 2" xfId="4141"/>
    <cellStyle name="Финансовый 2 2 2 2" xfId="4142"/>
    <cellStyle name="Финансовый 2 2 3" xfId="4143"/>
    <cellStyle name="Финансовый 2 3" xfId="4144"/>
    <cellStyle name="Финансовый 3" xfId="4145"/>
    <cellStyle name="Финансовый 4" xfId="4146"/>
    <cellStyle name="Финансовый 4 2" xfId="4147"/>
    <cellStyle name="Финансовый 4 2 2" xfId="4148"/>
    <cellStyle name="Финансовый 4 2 2 2" xfId="4149"/>
    <cellStyle name="Финансовый 4 3" xfId="4150"/>
    <cellStyle name="Финансовый 4 3 2" xfId="4151"/>
    <cellStyle name="Финансовый 4 4" xfId="4152"/>
    <cellStyle name="Финансовый 5" xfId="4153"/>
    <cellStyle name="Финансовый 6" xfId="4154"/>
    <cellStyle name="Финансовый 6 2" xfId="4155"/>
    <cellStyle name="Финансовый 6 2 2" xfId="4156"/>
    <cellStyle name="Финансовый 6 3" xfId="4157"/>
    <cellStyle name="Финансовый 6 4" xfId="4158"/>
    <cellStyle name="Финансовый 6 5" xfId="4159"/>
    <cellStyle name="Хороший 10" xfId="4160"/>
    <cellStyle name="Хороший 11" xfId="4161"/>
    <cellStyle name="Хороший 12" xfId="4162"/>
    <cellStyle name="Хороший 13" xfId="4163"/>
    <cellStyle name="Хороший 14" xfId="4164"/>
    <cellStyle name="Хороший 15" xfId="4165"/>
    <cellStyle name="Хороший 16" xfId="4166"/>
    <cellStyle name="Хороший 17" xfId="4167"/>
    <cellStyle name="Хороший 18" xfId="4168"/>
    <cellStyle name="Хороший 19" xfId="4169"/>
    <cellStyle name="Хороший 2" xfId="4170"/>
    <cellStyle name="Хороший 20" xfId="4171"/>
    <cellStyle name="Хороший 21" xfId="4172"/>
    <cellStyle name="Хороший 22" xfId="4173"/>
    <cellStyle name="Хороший 23" xfId="4174"/>
    <cellStyle name="Хороший 24" xfId="4175"/>
    <cellStyle name="Хороший 25" xfId="4176"/>
    <cellStyle name="Хороший 26" xfId="4177"/>
    <cellStyle name="Хороший 27" xfId="4178"/>
    <cellStyle name="Хороший 28" xfId="4179"/>
    <cellStyle name="Хороший 29" xfId="4180"/>
    <cellStyle name="Хороший 3" xfId="4181"/>
    <cellStyle name="Хороший 30" xfId="4182"/>
    <cellStyle name="Хороший 31" xfId="4183"/>
    <cellStyle name="Хороший 32" xfId="4184"/>
    <cellStyle name="Хороший 33" xfId="4185"/>
    <cellStyle name="Хороший 34" xfId="4186"/>
    <cellStyle name="Хороший 35" xfId="4187"/>
    <cellStyle name="Хороший 36" xfId="4188"/>
    <cellStyle name="Хороший 37" xfId="4189"/>
    <cellStyle name="Хороший 38" xfId="4190"/>
    <cellStyle name="Хороший 39" xfId="4191"/>
    <cellStyle name="Хороший 4" xfId="4192"/>
    <cellStyle name="Хороший 40" xfId="4193"/>
    <cellStyle name="Хороший 41" xfId="4194"/>
    <cellStyle name="Хороший 42" xfId="4195"/>
    <cellStyle name="Хороший 43" xfId="4196"/>
    <cellStyle name="Хороший 44" xfId="4197"/>
    <cellStyle name="Хороший 45" xfId="4198"/>
    <cellStyle name="Хороший 46" xfId="4199"/>
    <cellStyle name="Хороший 47" xfId="4200"/>
    <cellStyle name="Хороший 48" xfId="4201"/>
    <cellStyle name="Хороший 49" xfId="4202"/>
    <cellStyle name="Хороший 5" xfId="4203"/>
    <cellStyle name="Хороший 50" xfId="4204"/>
    <cellStyle name="Хороший 51" xfId="4205"/>
    <cellStyle name="Хороший 52" xfId="4206"/>
    <cellStyle name="Хороший 53" xfId="4207"/>
    <cellStyle name="Хороший 54" xfId="4208"/>
    <cellStyle name="Хороший 55" xfId="4209"/>
    <cellStyle name="Хороший 56" xfId="4210"/>
    <cellStyle name="Хороший 57" xfId="4211"/>
    <cellStyle name="Хороший 58" xfId="4212"/>
    <cellStyle name="Хороший 59" xfId="4213"/>
    <cellStyle name="Хороший 6" xfId="4214"/>
    <cellStyle name="Хороший 60" xfId="4215"/>
    <cellStyle name="Хороший 61" xfId="4216"/>
    <cellStyle name="Хороший 62" xfId="4217"/>
    <cellStyle name="Хороший 63" xfId="4218"/>
    <cellStyle name="Хороший 7" xfId="4219"/>
    <cellStyle name="Хороший 8" xfId="4220"/>
    <cellStyle name="Хороший 9" xfId="4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tyles" Target="style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Newnt/&#1092;&#1086;/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">
    <outlinePr applyStyles="0" showOutlineSymbols="1" summaryBelow="1" summaryRight="1"/>
    <pageSetUpPr autoPageBreaks="1" fitToPage="1"/>
  </sheetPr>
  <sheetViews>
    <sheetView topLeftCell="A3" workbookViewId="0" zoomScale="60">
      <selection activeCell="U15" activeCellId="0" sqref="U15"/>
    </sheetView>
  </sheetViews>
  <sheetFormatPr defaultColWidth="10.33203125" defaultRowHeight="12.75"/>
  <cols>
    <col customWidth="1" min="1" max="1" style="1" width="6.33203125"/>
    <col customWidth="1" min="2" max="2" style="1" width="81"/>
    <col customWidth="1" min="3" max="3" style="1" width="13.88671875"/>
    <col customWidth="1" min="4" max="6" style="2" width="21.5546875"/>
    <col customWidth="1" min="7" max="7" style="3" width="21.5546875"/>
    <col customWidth="1" hidden="1" min="8" max="8" style="3" width="0.33203125"/>
    <col customWidth="1" hidden="1" min="9" max="9" style="3" width="10.44140625"/>
    <col customWidth="1" hidden="1" min="10" max="13" style="1" width="10.33203125"/>
    <col customWidth="1" min="14" max="14" style="1" width="13.33203125"/>
    <col min="15" max="16384" style="1" width="10.33203125"/>
  </cols>
  <sheetData>
    <row r="1" s="0" customFormat="1" ht="20.25" hidden="1" customHeight="1">
      <c r="B1" s="4" t="s">
        <v>0</v>
      </c>
      <c r="C1" s="5"/>
      <c r="D1" s="5"/>
      <c r="E1" s="5"/>
      <c r="F1" s="5"/>
      <c r="G1" s="6"/>
    </row>
    <row r="2" s="0" customFormat="1" ht="19.5" hidden="1" customHeight="1">
      <c r="B2" s="4" t="s">
        <v>1</v>
      </c>
      <c r="C2" s="5"/>
      <c r="D2" s="5"/>
      <c r="E2" s="5"/>
      <c r="F2" s="5"/>
      <c r="G2" s="6"/>
    </row>
    <row r="3" ht="21">
      <c r="A3" s="1"/>
      <c r="B3" s="7"/>
      <c r="C3" s="1"/>
      <c r="D3" s="2"/>
      <c r="E3" s="2"/>
      <c r="F3" s="2"/>
      <c r="G3" s="8"/>
    </row>
    <row r="4" s="3" customFormat="1" ht="16.5">
      <c r="A4" s="9"/>
      <c r="B4" s="10" t="s">
        <v>2</v>
      </c>
      <c r="C4" s="10"/>
      <c r="D4" s="10"/>
      <c r="E4" s="10"/>
      <c r="F4" s="10"/>
      <c r="G4" s="10"/>
      <c r="N4" s="11"/>
      <c r="O4" s="12"/>
    </row>
    <row r="5" s="3" customFormat="1" ht="16.5">
      <c r="A5" s="9"/>
      <c r="B5" s="10" t="s">
        <v>3</v>
      </c>
      <c r="C5" s="10"/>
      <c r="D5" s="10"/>
      <c r="E5" s="10"/>
      <c r="F5" s="10"/>
      <c r="G5" s="10"/>
    </row>
    <row r="6" s="3" customFormat="1" ht="19.5">
      <c r="A6" s="9"/>
      <c r="B6" s="13" t="s">
        <v>4</v>
      </c>
      <c r="C6" s="13"/>
      <c r="D6" s="13"/>
      <c r="E6" s="13"/>
      <c r="F6" s="13"/>
      <c r="G6" s="13"/>
      <c r="L6" s="3" t="s">
        <v>5</v>
      </c>
    </row>
    <row r="7" s="3" customFormat="1" ht="21" customHeight="1">
      <c r="A7" s="9"/>
      <c r="B7" s="13" t="s">
        <v>6</v>
      </c>
      <c r="C7" s="13"/>
      <c r="D7" s="13"/>
      <c r="E7" s="13"/>
      <c r="F7" s="13"/>
      <c r="G7" s="13"/>
    </row>
    <row r="8" s="3" customFormat="1" ht="28.5" customHeight="1">
      <c r="A8" s="9"/>
      <c r="B8" s="10" t="s">
        <v>7</v>
      </c>
      <c r="C8" s="10"/>
      <c r="D8" s="10"/>
      <c r="E8" s="10"/>
      <c r="F8" s="10"/>
      <c r="G8" s="10"/>
    </row>
    <row r="9" s="3" customFormat="1" ht="14.25">
      <c r="A9" s="1"/>
      <c r="B9" s="14" t="s">
        <v>8</v>
      </c>
      <c r="C9" s="3">
        <v>37415.199999999997</v>
      </c>
      <c r="D9" s="15"/>
      <c r="E9" s="15"/>
      <c r="F9" s="15"/>
      <c r="G9" s="3"/>
    </row>
    <row r="10" s="3" customFormat="1" ht="50.25" customHeight="1">
      <c r="A10" s="16"/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8"/>
      <c r="I10" s="19"/>
    </row>
    <row r="11" s="3" customFormat="1" ht="40.799999999999997" customHeight="1">
      <c r="A11" s="20" t="s">
        <v>15</v>
      </c>
      <c r="B11" s="21" t="s">
        <v>16</v>
      </c>
      <c r="C11" s="20"/>
      <c r="D11" s="22">
        <f>SUM(D12:D28)</f>
        <v>43.810000000000002</v>
      </c>
      <c r="E11" s="22">
        <f>SUM(E12:E28)-0.01</f>
        <v>55.198281690413062</v>
      </c>
      <c r="F11" s="22">
        <f t="shared" ref="F11:F33" si="0">E11-D11</f>
        <v>11.388281690413059</v>
      </c>
      <c r="G11" s="22">
        <f t="shared" ref="G11:G33" si="1">E11/D11*100-100</f>
        <v>25.994708263896513</v>
      </c>
      <c r="H11" s="3"/>
      <c r="I11" s="23"/>
    </row>
    <row r="12" s="3" customFormat="1" ht="43.200000000000003" customHeight="1">
      <c r="A12" s="24"/>
      <c r="B12" s="25" t="s">
        <v>17</v>
      </c>
      <c r="C12" s="26" t="s">
        <v>18</v>
      </c>
      <c r="D12" s="27">
        <v>5.7199999999999998</v>
      </c>
      <c r="E12" s="27">
        <f>Разъяснения!Q12</f>
        <v>7.9307183095848854</v>
      </c>
      <c r="F12" s="27">
        <f t="shared" si="0"/>
        <v>2.2107183095848857</v>
      </c>
      <c r="G12" s="27">
        <f t="shared" si="1"/>
        <v>38.648921496239268</v>
      </c>
      <c r="H12" s="3"/>
      <c r="I12" s="23"/>
      <c r="O12" s="11"/>
      <c r="P12" s="28"/>
    </row>
    <row r="13" ht="43.200000000000003" customHeight="1">
      <c r="A13" s="29"/>
      <c r="B13" s="25" t="s">
        <v>19</v>
      </c>
      <c r="C13" s="26" t="s">
        <v>18</v>
      </c>
      <c r="D13" s="30">
        <v>6.3300000000000001</v>
      </c>
      <c r="E13" s="30">
        <v>6.3300000000000001</v>
      </c>
      <c r="F13" s="30">
        <f t="shared" si="0"/>
        <v>0</v>
      </c>
      <c r="G13" s="30">
        <f t="shared" si="1"/>
        <v>0</v>
      </c>
      <c r="H13" s="3"/>
      <c r="I13" s="23"/>
      <c r="O13" s="11"/>
      <c r="P13" s="28"/>
    </row>
    <row r="14" ht="43.200000000000003" customHeight="1">
      <c r="A14" s="31"/>
      <c r="B14" s="25" t="s">
        <v>20</v>
      </c>
      <c r="C14" s="26" t="s">
        <v>18</v>
      </c>
      <c r="D14" s="32">
        <v>4.3099999999999996</v>
      </c>
      <c r="E14" s="32">
        <f>Разъяснения!P23</f>
        <v>5.4984184212178135</v>
      </c>
      <c r="F14" s="32">
        <f t="shared" si="0"/>
        <v>1.1884184212178139</v>
      </c>
      <c r="G14" s="32">
        <f t="shared" si="1"/>
        <v>27.573513253313536</v>
      </c>
      <c r="H14" s="11"/>
      <c r="I14" s="23"/>
      <c r="O14" s="11"/>
      <c r="P14" s="28"/>
    </row>
    <row r="15" ht="43.200000000000003" customHeight="1">
      <c r="A15" s="31"/>
      <c r="B15" s="25" t="s">
        <v>21</v>
      </c>
      <c r="C15" s="26" t="s">
        <v>18</v>
      </c>
      <c r="D15" s="30">
        <v>3.4300000000000002</v>
      </c>
      <c r="E15" s="30">
        <v>3.4300000000000002</v>
      </c>
      <c r="F15" s="30">
        <f t="shared" si="0"/>
        <v>0</v>
      </c>
      <c r="G15" s="30">
        <f t="shared" si="1"/>
        <v>0</v>
      </c>
      <c r="H15" s="11"/>
      <c r="I15" s="23"/>
      <c r="O15" s="11"/>
      <c r="P15" s="28"/>
    </row>
    <row r="16" ht="43.200000000000003" customHeight="1">
      <c r="A16" s="31"/>
      <c r="B16" s="33" t="s">
        <v>22</v>
      </c>
      <c r="C16" s="34" t="s">
        <v>18</v>
      </c>
      <c r="D16" s="27">
        <v>1.3</v>
      </c>
      <c r="E16" s="27">
        <f>'Слаб., тепл.системы'!G34</f>
        <v>1.8816745747760493</v>
      </c>
      <c r="F16" s="27">
        <f t="shared" si="0"/>
        <v>0.58167457477604922</v>
      </c>
      <c r="G16" s="27">
        <f t="shared" si="1"/>
        <v>44.744198059696089</v>
      </c>
      <c r="H16" s="3"/>
      <c r="I16" s="23"/>
      <c r="O16" s="11"/>
      <c r="P16" s="28"/>
    </row>
    <row r="17" s="3" customFormat="1" ht="43.200000000000003" customHeight="1">
      <c r="A17" s="31"/>
      <c r="B17" s="25" t="s">
        <v>23</v>
      </c>
      <c r="C17" s="34" t="s">
        <v>18</v>
      </c>
      <c r="D17" s="27">
        <f>0.46+0.24</f>
        <v>0.69999999999999996</v>
      </c>
      <c r="E17" s="27">
        <f>'Слаб., тепл.системы'!G35+'Слаб., тепл.системы'!G37</f>
        <v>1.0132093864178726</v>
      </c>
      <c r="F17" s="27">
        <f t="shared" si="0"/>
        <v>0.31320938641787266</v>
      </c>
      <c r="G17" s="27">
        <f t="shared" si="1"/>
        <v>44.744198059696089</v>
      </c>
      <c r="H17" s="3"/>
      <c r="I17" s="23"/>
      <c r="O17" s="11"/>
      <c r="P17" s="28"/>
    </row>
    <row r="18" ht="43.200000000000003" customHeight="1">
      <c r="A18" s="31"/>
      <c r="B18" s="35" t="s">
        <v>24</v>
      </c>
      <c r="C18" s="34" t="s">
        <v>18</v>
      </c>
      <c r="D18" s="27">
        <v>0.40999999999999998</v>
      </c>
      <c r="E18" s="27">
        <f>'Слаб., тепл.системы'!G36</f>
        <v>0.59345121204475393</v>
      </c>
      <c r="F18" s="27">
        <f t="shared" si="0"/>
        <v>0.18345121204475395</v>
      </c>
      <c r="G18" s="27">
        <f t="shared" si="1"/>
        <v>44.744198059696089</v>
      </c>
      <c r="H18" s="3"/>
      <c r="I18" s="23"/>
      <c r="O18" s="11"/>
      <c r="P18" s="28"/>
    </row>
    <row r="19" s="2" customFormat="1" ht="43.200000000000003" customHeight="1">
      <c r="A19" s="36"/>
      <c r="B19" s="33" t="s">
        <v>25</v>
      </c>
      <c r="C19" s="34" t="s">
        <v>18</v>
      </c>
      <c r="D19" s="37">
        <v>0.17000000000000001</v>
      </c>
      <c r="E19" s="37">
        <v>0.17000000000000001</v>
      </c>
      <c r="F19" s="37">
        <f t="shared" si="0"/>
        <v>0</v>
      </c>
      <c r="G19" s="37">
        <f t="shared" si="1"/>
        <v>0</v>
      </c>
      <c r="H19" s="38"/>
      <c r="I19" s="39"/>
      <c r="O19" s="40"/>
      <c r="P19" s="41"/>
    </row>
    <row r="20" ht="43.200000000000003" customHeight="1">
      <c r="A20" s="31"/>
      <c r="B20" s="25" t="s">
        <v>26</v>
      </c>
      <c r="C20" s="34" t="s">
        <v>18</v>
      </c>
      <c r="D20" s="27">
        <v>2.2400000000000002</v>
      </c>
      <c r="E20" s="27">
        <f>Лифты_формула!E63</f>
        <v>4.008439520673182</v>
      </c>
      <c r="F20" s="27">
        <f t="shared" si="0"/>
        <v>1.7684395206731818</v>
      </c>
      <c r="G20" s="27">
        <f t="shared" si="1"/>
        <v>78.948192887195603</v>
      </c>
      <c r="H20" s="3"/>
      <c r="I20" s="23"/>
      <c r="O20" s="11"/>
      <c r="P20" s="28"/>
    </row>
    <row r="21" ht="43.200000000000003" customHeight="1">
      <c r="A21" s="31"/>
      <c r="B21" s="25" t="s">
        <v>27</v>
      </c>
      <c r="C21" s="26" t="s">
        <v>18</v>
      </c>
      <c r="D21" s="27">
        <f>0.54+0.49</f>
        <v>1.03</v>
      </c>
      <c r="E21" s="27">
        <f>0.54+0.87</f>
        <v>1.4100000000000001</v>
      </c>
      <c r="F21" s="27">
        <f t="shared" si="0"/>
        <v>0.38000000000000012</v>
      </c>
      <c r="G21" s="27">
        <f t="shared" si="1"/>
        <v>36.893203883495147</v>
      </c>
      <c r="H21" s="3"/>
      <c r="I21" s="23"/>
      <c r="O21" s="11"/>
      <c r="P21" s="28"/>
    </row>
    <row r="22" ht="43.200000000000003" customHeight="1">
      <c r="A22" s="31"/>
      <c r="B22" s="25" t="s">
        <v>28</v>
      </c>
      <c r="C22" s="26" t="s">
        <v>18</v>
      </c>
      <c r="D22" s="37">
        <v>0.059999999999999998</v>
      </c>
      <c r="E22" s="37">
        <v>0.059999999999999998</v>
      </c>
      <c r="F22" s="37">
        <f t="shared" si="0"/>
        <v>0</v>
      </c>
      <c r="G22" s="37">
        <f t="shared" si="1"/>
        <v>0</v>
      </c>
      <c r="H22" s="3"/>
      <c r="I22" s="23"/>
      <c r="O22" s="11"/>
      <c r="P22" s="28"/>
    </row>
    <row r="23" ht="43.200000000000003" customHeight="1">
      <c r="A23" s="31"/>
      <c r="B23" s="25" t="s">
        <v>29</v>
      </c>
      <c r="C23" s="26" t="s">
        <v>18</v>
      </c>
      <c r="D23" s="37">
        <v>0.070000000000000007</v>
      </c>
      <c r="E23" s="37">
        <v>0.070000000000000007</v>
      </c>
      <c r="F23" s="37">
        <f t="shared" si="0"/>
        <v>0</v>
      </c>
      <c r="G23" s="37">
        <f t="shared" si="1"/>
        <v>0</v>
      </c>
      <c r="H23" s="3"/>
      <c r="I23" s="23"/>
      <c r="O23" s="11"/>
      <c r="P23" s="28"/>
    </row>
    <row r="24" ht="43.200000000000003" customHeight="1">
      <c r="A24" s="31"/>
      <c r="B24" s="42" t="s">
        <v>30</v>
      </c>
      <c r="C24" s="34" t="s">
        <v>18</v>
      </c>
      <c r="D24" s="27">
        <v>5.8600000000000003</v>
      </c>
      <c r="E24" s="27">
        <f>6.86+0.22</f>
        <v>7.0800000000000001</v>
      </c>
      <c r="F24" s="27">
        <f t="shared" si="0"/>
        <v>1.2199999999999998</v>
      </c>
      <c r="G24" s="27">
        <f t="shared" si="1"/>
        <v>20.819112627986343</v>
      </c>
      <c r="H24" s="3"/>
      <c r="I24" s="23"/>
      <c r="O24" s="11"/>
      <c r="P24" s="28"/>
    </row>
    <row r="25" ht="43.200000000000003" customHeight="1">
      <c r="A25" s="31"/>
      <c r="B25" s="33" t="s">
        <v>31</v>
      </c>
      <c r="C25" s="34" t="s">
        <v>18</v>
      </c>
      <c r="D25" s="37">
        <v>0.57999999999999996</v>
      </c>
      <c r="E25" s="37">
        <v>0.57999999999999996</v>
      </c>
      <c r="F25" s="37">
        <f t="shared" si="0"/>
        <v>0</v>
      </c>
      <c r="G25" s="37">
        <f t="shared" si="1"/>
        <v>0</v>
      </c>
      <c r="H25" s="3"/>
      <c r="I25" s="23"/>
      <c r="O25" s="11"/>
      <c r="P25" s="28"/>
    </row>
    <row r="26" ht="43.200000000000003" customHeight="1">
      <c r="A26" s="31"/>
      <c r="B26" s="25" t="s">
        <v>32</v>
      </c>
      <c r="C26" s="26" t="s">
        <v>18</v>
      </c>
      <c r="D26" s="43">
        <v>9.0199999999999996</v>
      </c>
      <c r="E26" s="43">
        <f>Разъяснения!Q19</f>
        <v>11.271993069429808</v>
      </c>
      <c r="F26" s="43">
        <f t="shared" si="0"/>
        <v>2.2519930694298083</v>
      </c>
      <c r="G26" s="43">
        <f t="shared" si="1"/>
        <v>24.966663740906966</v>
      </c>
      <c r="H26" s="3"/>
      <c r="I26" s="23"/>
      <c r="O26" s="11"/>
      <c r="P26" s="28"/>
    </row>
    <row r="27" ht="43.200000000000003" customHeight="1">
      <c r="A27" s="31"/>
      <c r="B27" s="25" t="s">
        <v>33</v>
      </c>
      <c r="C27" s="26" t="s">
        <v>18</v>
      </c>
      <c r="D27" s="43">
        <v>2.3599999999999999</v>
      </c>
      <c r="E27" s="43">
        <f>Разъяснения!Q18</f>
        <v>3.8803771962686944</v>
      </c>
      <c r="F27" s="43">
        <f t="shared" si="0"/>
        <v>1.5203771962686945</v>
      </c>
      <c r="G27" s="43">
        <f t="shared" si="1"/>
        <v>64.422762553758247</v>
      </c>
      <c r="H27" s="3"/>
      <c r="I27" s="23"/>
      <c r="O27" s="11"/>
      <c r="P27" s="28"/>
    </row>
    <row r="28" s="1" customFormat="1" ht="48" customHeight="1">
      <c r="A28" s="31"/>
      <c r="B28" s="33" t="s">
        <v>34</v>
      </c>
      <c r="C28" s="34" t="s">
        <v>18</v>
      </c>
      <c r="D28" s="44">
        <v>0.22</v>
      </c>
      <c r="E28" s="44">
        <v>0</v>
      </c>
      <c r="F28" s="44">
        <f t="shared" si="0"/>
        <v>-0.22</v>
      </c>
      <c r="G28" s="44">
        <f t="shared" si="1"/>
        <v>-100</v>
      </c>
      <c r="H28" s="3"/>
      <c r="I28" s="23"/>
      <c r="O28" s="11"/>
      <c r="P28" s="28"/>
    </row>
    <row r="31" ht="43.799999999999997" customHeight="1">
      <c r="A31" s="31"/>
      <c r="B31" s="33" t="s">
        <v>35</v>
      </c>
      <c r="C31" s="34" t="s">
        <v>36</v>
      </c>
      <c r="D31" s="27">
        <v>149</v>
      </c>
      <c r="E31" s="27">
        <v>159</v>
      </c>
      <c r="F31" s="27">
        <f t="shared" si="0"/>
        <v>10</v>
      </c>
      <c r="G31" s="27">
        <f t="shared" si="1"/>
        <v>6.7114093959731491</v>
      </c>
      <c r="H31" s="3"/>
      <c r="I31" s="45"/>
      <c r="J31" s="28"/>
      <c r="K31" s="11"/>
      <c r="L31" s="11"/>
    </row>
    <row r="32">
      <c r="E32" s="11"/>
      <c r="F32" s="11"/>
    </row>
    <row r="33" ht="43.799999999999997" customHeight="1">
      <c r="A33" s="31"/>
      <c r="B33" s="33" t="s">
        <v>37</v>
      </c>
      <c r="C33" s="34" t="s">
        <v>18</v>
      </c>
      <c r="D33" s="27">
        <v>0.5</v>
      </c>
      <c r="E33" s="27">
        <v>1</v>
      </c>
      <c r="F33" s="27">
        <f t="shared" si="0"/>
        <v>0.5</v>
      </c>
      <c r="G33" s="27">
        <f t="shared" si="1"/>
        <v>100</v>
      </c>
      <c r="H33" s="3"/>
      <c r="I33" s="45"/>
      <c r="J33" s="28"/>
      <c r="K33" s="11"/>
      <c r="L33" s="11"/>
    </row>
  </sheetData>
  <mergeCells count="7">
    <mergeCell ref="B1:G1"/>
    <mergeCell ref="B2:G2"/>
    <mergeCell ref="B4:G4"/>
    <mergeCell ref="B5:G5"/>
    <mergeCell ref="B6:G6"/>
    <mergeCell ref="B7:G7"/>
    <mergeCell ref="B8:G8"/>
  </mergeCells>
  <printOptions headings="0" gridLines="0"/>
  <pageMargins left="0.31496062992125984" right="0.19685039370078738" top="0.15748031496062992" bottom="0.19685039370078738" header="0.11811023622047245" footer="0.11811023622047245"/>
  <pageSetup paperSize="9" scale="53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0">
    <outlinePr applyStyles="0" showOutlineSymbols="1" summaryBelow="1" summaryRight="1"/>
    <pageSetUpPr autoPageBreaks="1" fitToPage="0"/>
  </sheetPr>
  <sheetViews>
    <sheetView topLeftCell="A13" workbookViewId="0" zoomScale="80">
      <selection activeCell="N19" activeCellId="0" sqref="N19"/>
    </sheetView>
  </sheetViews>
  <sheetFormatPr defaultRowHeight="13.199999999999999"/>
  <cols>
    <col customWidth="1" min="1" max="1" style="360" width="59.21875"/>
    <col min="2" max="16384" style="360" width="8.88671875"/>
  </cols>
  <sheetData>
    <row r="3">
      <c r="A3" s="154" t="s">
        <v>98</v>
      </c>
      <c r="B3" s="155"/>
      <c r="C3" s="155"/>
      <c r="D3" s="155"/>
      <c r="E3" s="155"/>
    </row>
    <row r="4">
      <c r="A4" s="156" t="s">
        <v>80</v>
      </c>
      <c r="B4" s="157">
        <v>57589.099999999999</v>
      </c>
      <c r="C4" s="157"/>
      <c r="D4" s="157"/>
    </row>
    <row r="5">
      <c r="A5" s="156" t="s">
        <v>82</v>
      </c>
      <c r="B5" s="157">
        <v>2836.8000000000002</v>
      </c>
      <c r="C5" s="157"/>
      <c r="D5" s="157"/>
    </row>
    <row r="6">
      <c r="A6" s="156" t="s">
        <v>84</v>
      </c>
      <c r="B6" s="157">
        <v>5908.2600000000002</v>
      </c>
      <c r="C6" s="157"/>
      <c r="D6" s="157"/>
    </row>
    <row r="7">
      <c r="A7" s="156"/>
      <c r="B7" s="159">
        <f>SUM(B4:B6)</f>
        <v>66334.160000000003</v>
      </c>
      <c r="C7" s="159"/>
      <c r="D7" s="159"/>
    </row>
    <row r="8">
      <c r="A8" s="156" t="s">
        <v>195</v>
      </c>
      <c r="B8" s="160">
        <v>177</v>
      </c>
      <c r="C8" s="160"/>
      <c r="D8" s="160"/>
    </row>
    <row r="11" s="361" customFormat="1" ht="15.6">
      <c r="A11" s="362" t="s">
        <v>196</v>
      </c>
    </row>
    <row r="13" ht="19.800000000000001" customHeight="1">
      <c r="A13" s="363" t="s">
        <v>60</v>
      </c>
      <c r="B13" s="364" t="s">
        <v>197</v>
      </c>
      <c r="C13" s="364"/>
      <c r="D13" s="364"/>
      <c r="E13" s="365" t="s">
        <v>60</v>
      </c>
      <c r="G13" s="366" t="s">
        <v>198</v>
      </c>
      <c r="H13" s="364"/>
      <c r="I13" s="364"/>
      <c r="J13" s="365" t="s">
        <v>60</v>
      </c>
    </row>
    <row r="14" s="367" customFormat="1" ht="19.800000000000001" customHeight="1">
      <c r="A14" s="368"/>
      <c r="B14" s="369" t="s">
        <v>80</v>
      </c>
      <c r="C14" s="369" t="s">
        <v>82</v>
      </c>
      <c r="D14" s="369" t="s">
        <v>84</v>
      </c>
      <c r="E14" s="370"/>
      <c r="G14" s="371" t="s">
        <v>80</v>
      </c>
      <c r="H14" s="369" t="s">
        <v>82</v>
      </c>
      <c r="I14" s="369" t="s">
        <v>84</v>
      </c>
      <c r="J14" s="370"/>
    </row>
    <row r="15" s="367" customFormat="1" ht="24">
      <c r="A15" s="372" t="s">
        <v>199</v>
      </c>
      <c r="B15" s="373">
        <v>0.67000000000000004</v>
      </c>
      <c r="C15" s="373">
        <v>3.8399999999999999</v>
      </c>
      <c r="D15" s="373">
        <v>32.140000000000001</v>
      </c>
      <c r="E15" s="374">
        <f>B15*B4+C15*B5+D15*B8</f>
        <v>55166.788999999997</v>
      </c>
      <c r="F15" s="375"/>
      <c r="G15" s="376">
        <f>B15</f>
        <v>0.67000000000000004</v>
      </c>
      <c r="H15" s="373">
        <f>C15</f>
        <v>3.8399999999999999</v>
      </c>
      <c r="I15" s="373">
        <f>D15</f>
        <v>32.140000000000001</v>
      </c>
      <c r="J15" s="374">
        <f>G15*B4+H15*B5+I15*B8</f>
        <v>55166.788999999997</v>
      </c>
    </row>
    <row r="16" s="367" customFormat="1" ht="12">
      <c r="A16" s="377" t="s">
        <v>200</v>
      </c>
      <c r="B16" s="378">
        <v>0.48999999999999999</v>
      </c>
      <c r="C16" s="378">
        <v>5.5</v>
      </c>
      <c r="D16" s="378"/>
      <c r="E16" s="379">
        <f>B16*B4+C16*B5+D16*B8</f>
        <v>43821.059000000001</v>
      </c>
      <c r="G16" s="380">
        <f>B16*H28/100</f>
        <v>0.87469948433998757</v>
      </c>
      <c r="H16" s="378">
        <f>C16*H28/100</f>
        <v>9.8180554364692494</v>
      </c>
      <c r="I16" s="378"/>
      <c r="J16" s="379">
        <f>G16*B4+H16*B5</f>
        <v>78225.015735779947</v>
      </c>
    </row>
    <row r="17" s="381" customFormat="1" ht="11.4">
      <c r="A17" s="382" t="s">
        <v>201</v>
      </c>
      <c r="B17" s="383"/>
      <c r="C17" s="383"/>
      <c r="D17" s="383"/>
      <c r="E17" s="384">
        <f>SUM(E15:E16)</f>
        <v>98987.847999999998</v>
      </c>
      <c r="G17" s="382"/>
      <c r="H17" s="385"/>
      <c r="I17" s="385"/>
      <c r="J17" s="384">
        <f>SUM(J15:J16)</f>
        <v>133391.80473577994</v>
      </c>
    </row>
    <row r="18" s="367" customFormat="1" ht="12">
      <c r="A18" s="386"/>
      <c r="B18" s="387"/>
      <c r="C18" s="387"/>
      <c r="D18" s="387"/>
      <c r="E18" s="388"/>
    </row>
    <row r="19" s="367" customFormat="1" ht="27" customHeight="1">
      <c r="A19" s="389" t="s">
        <v>61</v>
      </c>
      <c r="B19" s="390"/>
      <c r="C19" s="390"/>
      <c r="D19" s="390"/>
      <c r="E19" s="391"/>
    </row>
    <row r="20" s="367" customFormat="1" ht="12">
      <c r="A20" s="392" t="s">
        <v>202</v>
      </c>
      <c r="B20" s="393"/>
      <c r="C20" s="393"/>
      <c r="D20" s="393"/>
      <c r="E20" s="374">
        <f>199351.36717282/12</f>
        <v>16612.613931068332</v>
      </c>
    </row>
    <row r="21" s="367" customFormat="1" ht="12">
      <c r="A21" s="394" t="s">
        <v>203</v>
      </c>
      <c r="B21" s="395"/>
      <c r="C21" s="395"/>
      <c r="D21" s="395"/>
      <c r="E21" s="379">
        <f>15203.2100340415/12</f>
        <v>1266.9341695034584</v>
      </c>
    </row>
    <row r="22" s="367" customFormat="1" ht="12">
      <c r="A22" s="394" t="s">
        <v>204</v>
      </c>
      <c r="B22" s="395"/>
      <c r="C22" s="395"/>
      <c r="D22" s="395"/>
      <c r="E22" s="379">
        <f>57000/12</f>
        <v>4750</v>
      </c>
    </row>
    <row r="23" s="367" customFormat="1" ht="12">
      <c r="A23" s="394" t="s">
        <v>205</v>
      </c>
      <c r="B23" s="395"/>
      <c r="C23" s="395"/>
      <c r="D23" s="395"/>
      <c r="E23" s="379">
        <f>132000/12</f>
        <v>11000</v>
      </c>
    </row>
    <row r="24" s="367" customFormat="1" ht="12">
      <c r="A24" s="394" t="s">
        <v>206</v>
      </c>
      <c r="B24" s="395"/>
      <c r="C24" s="395"/>
      <c r="D24" s="395"/>
      <c r="E24" s="379">
        <f>1037934.6/12</f>
        <v>86494.550000000003</v>
      </c>
    </row>
    <row r="25" s="367" customFormat="1" ht="12">
      <c r="A25" s="394" t="s">
        <v>201</v>
      </c>
      <c r="B25" s="395"/>
      <c r="C25" s="395"/>
      <c r="D25" s="395"/>
      <c r="E25" s="379">
        <f>SUM(E20:E24)</f>
        <v>120124.09810057179</v>
      </c>
    </row>
    <row r="26" s="367" customFormat="1" ht="12">
      <c r="A26" s="394" t="s">
        <v>207</v>
      </c>
      <c r="B26" s="395"/>
      <c r="C26" s="395"/>
      <c r="D26" s="395"/>
      <c r="E26" s="379">
        <f>E25*95%*1%</f>
        <v>1141.1789319554318</v>
      </c>
    </row>
    <row r="27" s="367" customFormat="1" ht="12">
      <c r="A27" s="394" t="s">
        <v>208</v>
      </c>
      <c r="B27" s="395"/>
      <c r="C27" s="395"/>
      <c r="D27" s="395"/>
      <c r="E27" s="379">
        <f>(E25+E26)*10%</f>
        <v>12126.527703252723</v>
      </c>
    </row>
    <row r="28" s="381" customFormat="1" ht="12">
      <c r="A28" s="382" t="s">
        <v>94</v>
      </c>
      <c r="B28" s="383"/>
      <c r="C28" s="383"/>
      <c r="D28" s="383"/>
      <c r="E28" s="384">
        <f>E25+E26+E27</f>
        <v>133391.80473577994</v>
      </c>
      <c r="G28" s="396">
        <f>E28-J15</f>
        <v>78225.015735779947</v>
      </c>
      <c r="H28" s="397">
        <f>G28/E16*100</f>
        <v>178.51009884489542</v>
      </c>
      <c r="I28" s="367"/>
    </row>
    <row r="29">
      <c r="B29" s="398"/>
      <c r="C29" s="398"/>
      <c r="D29" s="398"/>
      <c r="E29" s="398"/>
    </row>
    <row r="30" s="361" customFormat="1" ht="15.6">
      <c r="A30" s="362" t="s">
        <v>209</v>
      </c>
      <c r="B30" s="399"/>
      <c r="C30" s="399"/>
      <c r="D30" s="399"/>
      <c r="E30" s="399"/>
    </row>
    <row r="31">
      <c r="B31" s="398"/>
      <c r="C31" s="398"/>
      <c r="D31" s="398"/>
      <c r="E31" s="398"/>
    </row>
    <row r="32" ht="16.199999999999999" customHeight="1">
      <c r="A32" s="363" t="s">
        <v>60</v>
      </c>
      <c r="B32" s="364" t="s">
        <v>197</v>
      </c>
      <c r="C32" s="364"/>
      <c r="D32" s="364"/>
      <c r="E32" s="400" t="s">
        <v>60</v>
      </c>
      <c r="G32" s="366" t="s">
        <v>198</v>
      </c>
      <c r="H32" s="364"/>
      <c r="I32" s="364"/>
      <c r="J32" s="365" t="s">
        <v>60</v>
      </c>
    </row>
    <row r="33" s="367" customFormat="1" ht="16.199999999999999" customHeight="1">
      <c r="A33" s="368"/>
      <c r="B33" s="369" t="s">
        <v>80</v>
      </c>
      <c r="C33" s="369" t="s">
        <v>82</v>
      </c>
      <c r="D33" s="369" t="s">
        <v>84</v>
      </c>
      <c r="E33" s="401"/>
      <c r="G33" s="371" t="s">
        <v>80</v>
      </c>
      <c r="H33" s="369" t="s">
        <v>82</v>
      </c>
      <c r="I33" s="369" t="s">
        <v>84</v>
      </c>
      <c r="J33" s="370"/>
    </row>
    <row r="34" s="367" customFormat="1" ht="12">
      <c r="A34" s="372" t="s">
        <v>210</v>
      </c>
      <c r="B34" s="373">
        <v>1.3</v>
      </c>
      <c r="C34" s="373">
        <v>0.78000000000000003</v>
      </c>
      <c r="D34" s="373"/>
      <c r="E34" s="374">
        <f>B34*B4+C34*B5+D34*B8</f>
        <v>77078.534</v>
      </c>
      <c r="G34" s="376">
        <f t="shared" ref="G34:G37" si="42">B34*$G$55/100</f>
        <v>1.8816745747760493</v>
      </c>
      <c r="H34" s="373">
        <f t="shared" ref="H34:H37" si="43">C34*$G$55/100</f>
        <v>1.1290047448656295</v>
      </c>
      <c r="I34" s="373"/>
      <c r="J34" s="374">
        <f t="shared" ref="J34:J44" si="44">G34*$B$4+H34*$B$5+I34*$B$8</f>
        <v>111566.70591447021</v>
      </c>
    </row>
    <row r="35" s="367" customFormat="1" ht="12">
      <c r="A35" s="377" t="s">
        <v>211</v>
      </c>
      <c r="B35" s="378">
        <v>0.46000000000000002</v>
      </c>
      <c r="C35" s="378">
        <v>0.46000000000000002</v>
      </c>
      <c r="D35" s="378"/>
      <c r="E35" s="379">
        <f>B35*B4+C35*B5+D35*B8</f>
        <v>27795.914000000001</v>
      </c>
      <c r="G35" s="376">
        <f t="shared" si="42"/>
        <v>0.66582331107460202</v>
      </c>
      <c r="H35" s="373">
        <f t="shared" si="43"/>
        <v>0.66582331107460202</v>
      </c>
      <c r="I35" s="378"/>
      <c r="J35" s="379">
        <f t="shared" si="44"/>
        <v>40232.972812662789</v>
      </c>
    </row>
    <row r="36" s="367" customFormat="1" ht="12">
      <c r="A36" s="402" t="s">
        <v>212</v>
      </c>
      <c r="B36" s="378">
        <v>0.40999999999999998</v>
      </c>
      <c r="C36" s="378"/>
      <c r="D36" s="378"/>
      <c r="E36" s="379">
        <f>B36*B4+C36*B5+D36*B8</f>
        <v>23611.530999999999</v>
      </c>
      <c r="G36" s="376">
        <f t="shared" si="42"/>
        <v>0.59345121204475393</v>
      </c>
      <c r="H36" s="373"/>
      <c r="I36" s="378"/>
      <c r="J36" s="379">
        <f t="shared" si="44"/>
        <v>34176.321195566539</v>
      </c>
    </row>
    <row r="37" s="367" customFormat="1" ht="12">
      <c r="A37" s="377" t="s">
        <v>213</v>
      </c>
      <c r="B37" s="378">
        <v>0.23999999999999999</v>
      </c>
      <c r="C37" s="378">
        <v>0.23999999999999999</v>
      </c>
      <c r="D37" s="378"/>
      <c r="E37" s="379">
        <f>B37*B4+C37*B5+D37*B8</f>
        <v>14502.216</v>
      </c>
      <c r="G37" s="376">
        <f t="shared" si="42"/>
        <v>0.3473860753432706</v>
      </c>
      <c r="H37" s="373">
        <f t="shared" si="43"/>
        <v>0.3473860753432706</v>
      </c>
      <c r="I37" s="378"/>
      <c r="J37" s="379">
        <f t="shared" si="44"/>
        <v>20991.116250084935</v>
      </c>
    </row>
    <row r="38" s="367" customFormat="1" ht="12">
      <c r="A38" s="402" t="s">
        <v>214</v>
      </c>
      <c r="B38" s="378"/>
      <c r="C38" s="378"/>
      <c r="D38" s="378">
        <v>133.59999999999999</v>
      </c>
      <c r="E38" s="379">
        <f>D38*B8</f>
        <v>23647.200000000001</v>
      </c>
      <c r="G38" s="380"/>
      <c r="H38" s="373"/>
      <c r="I38" s="378">
        <f t="shared" ref="I38:I44" si="45">D38*$G$55/100</f>
        <v>193.37824860775396</v>
      </c>
      <c r="J38" s="379">
        <f t="shared" si="44"/>
        <v>34227.950003572449</v>
      </c>
    </row>
    <row r="39" s="367" customFormat="1" ht="12">
      <c r="A39" s="377" t="s">
        <v>215</v>
      </c>
      <c r="B39" s="378"/>
      <c r="C39" s="378"/>
      <c r="D39" s="378">
        <v>32.380000000000003</v>
      </c>
      <c r="E39" s="379">
        <f>D39*B8</f>
        <v>5731.2600000000002</v>
      </c>
      <c r="G39" s="380"/>
      <c r="H39" s="378"/>
      <c r="I39" s="378">
        <f t="shared" si="45"/>
        <v>46.868171331729599</v>
      </c>
      <c r="J39" s="379">
        <f t="shared" si="44"/>
        <v>8295.6663257161381</v>
      </c>
    </row>
    <row r="40" s="367" customFormat="1" ht="12">
      <c r="A40" s="377" t="s">
        <v>216</v>
      </c>
      <c r="B40" s="378"/>
      <c r="C40" s="378"/>
      <c r="D40" s="378">
        <v>16.600000000000001</v>
      </c>
      <c r="E40" s="379">
        <f>D40*B8</f>
        <v>2938.2000000000003</v>
      </c>
      <c r="G40" s="380"/>
      <c r="H40" s="378"/>
      <c r="I40" s="378">
        <f t="shared" si="45"/>
        <v>24.027536877909551</v>
      </c>
      <c r="J40" s="379">
        <f t="shared" si="44"/>
        <v>4252.8740273899903</v>
      </c>
    </row>
    <row r="41" s="367" customFormat="1" ht="12">
      <c r="A41" s="402" t="s">
        <v>217</v>
      </c>
      <c r="B41" s="378"/>
      <c r="C41" s="378"/>
      <c r="D41" s="378">
        <v>68.519999999999996</v>
      </c>
      <c r="E41" s="379">
        <f>D41*B8</f>
        <v>12128.039999999999</v>
      </c>
      <c r="G41" s="380"/>
      <c r="H41" s="378"/>
      <c r="I41" s="378">
        <f t="shared" si="45"/>
        <v>99.178724510503756</v>
      </c>
      <c r="J41" s="379">
        <f t="shared" si="44"/>
        <v>17554.634238359165</v>
      </c>
    </row>
    <row r="42" s="367" customFormat="1" ht="12">
      <c r="A42" s="377" t="s">
        <v>218</v>
      </c>
      <c r="B42" s="378"/>
      <c r="C42" s="378"/>
      <c r="D42" s="378">
        <v>48.920000000000002</v>
      </c>
      <c r="E42" s="379">
        <f>D42*B8</f>
        <v>8658.8400000000001</v>
      </c>
      <c r="G42" s="380"/>
      <c r="H42" s="378"/>
      <c r="I42" s="378">
        <f t="shared" si="45"/>
        <v>70.808861690803326</v>
      </c>
      <c r="J42" s="379">
        <f t="shared" si="44"/>
        <v>12533.168519272189</v>
      </c>
    </row>
    <row r="43" s="367" customFormat="1" ht="12">
      <c r="A43" s="402" t="s">
        <v>219</v>
      </c>
      <c r="B43" s="378"/>
      <c r="C43" s="378"/>
      <c r="D43" s="378">
        <v>17.399999999999999</v>
      </c>
      <c r="E43" s="379">
        <f>D43*B8</f>
        <v>3079.7999999999997</v>
      </c>
      <c r="G43" s="380"/>
      <c r="H43" s="378"/>
      <c r="I43" s="378">
        <f t="shared" si="45"/>
        <v>25.185490462387115</v>
      </c>
      <c r="J43" s="379">
        <f t="shared" si="44"/>
        <v>4457.8318118425195</v>
      </c>
    </row>
    <row r="44" s="367" customFormat="1" ht="12">
      <c r="A44" s="403" t="s">
        <v>220</v>
      </c>
      <c r="B44" s="404"/>
      <c r="C44" s="404"/>
      <c r="D44" s="404">
        <v>8.9000000000000004</v>
      </c>
      <c r="E44" s="405">
        <f>D44*B8</f>
        <v>1575.3</v>
      </c>
      <c r="G44" s="406"/>
      <c r="H44" s="404"/>
      <c r="I44" s="378">
        <f t="shared" si="45"/>
        <v>12.882233627312953</v>
      </c>
      <c r="J44" s="379">
        <f t="shared" si="44"/>
        <v>2280.1553520343928</v>
      </c>
    </row>
    <row r="45" s="381" customFormat="1" ht="11.4">
      <c r="A45" s="382" t="s">
        <v>201</v>
      </c>
      <c r="B45" s="383"/>
      <c r="C45" s="383"/>
      <c r="D45" s="383"/>
      <c r="E45" s="384">
        <f>SUM(E34:E44)</f>
        <v>200746.83500000002</v>
      </c>
      <c r="F45" s="407"/>
      <c r="G45" s="382"/>
      <c r="H45" s="385"/>
      <c r="I45" s="385"/>
      <c r="J45" s="384">
        <f>SUM(J34:J44)</f>
        <v>290569.39645097125</v>
      </c>
    </row>
    <row r="46" s="367" customFormat="1" ht="12">
      <c r="A46" s="408"/>
      <c r="B46" s="387"/>
      <c r="C46" s="387"/>
      <c r="D46" s="387"/>
      <c r="E46" s="409"/>
    </row>
    <row r="47" s="367" customFormat="1" ht="25.800000000000001" customHeight="1">
      <c r="A47" s="389" t="s">
        <v>61</v>
      </c>
      <c r="B47" s="390"/>
      <c r="C47" s="390"/>
      <c r="D47" s="390"/>
      <c r="E47" s="391"/>
    </row>
    <row r="48" s="367" customFormat="1" ht="12">
      <c r="A48" s="392" t="s">
        <v>221</v>
      </c>
      <c r="B48" s="393"/>
      <c r="C48" s="393"/>
      <c r="D48" s="393"/>
      <c r="E48" s="374">
        <f>553738.471429389/12</f>
        <v>46144.872619115748</v>
      </c>
    </row>
    <row r="49" s="367" customFormat="1" ht="12">
      <c r="A49" s="394" t="s">
        <v>222</v>
      </c>
      <c r="B49" s="395"/>
      <c r="C49" s="395"/>
      <c r="D49" s="395"/>
      <c r="E49" s="379">
        <f>36054.120827495/12</f>
        <v>3004.5100689579162</v>
      </c>
    </row>
    <row r="50" s="367" customFormat="1" ht="12">
      <c r="A50" s="394" t="s">
        <v>223</v>
      </c>
      <c r="B50" s="395"/>
      <c r="C50" s="395"/>
      <c r="D50" s="395"/>
      <c r="E50" s="379">
        <f>8000/12</f>
        <v>666.66666666666663</v>
      </c>
    </row>
    <row r="51" s="367" customFormat="1" ht="12">
      <c r="A51" s="394" t="s">
        <v>224</v>
      </c>
      <c r="B51" s="395"/>
      <c r="C51" s="395"/>
      <c r="D51" s="395"/>
      <c r="E51" s="379">
        <f>2542225.2/12</f>
        <v>211852.10000000001</v>
      </c>
    </row>
    <row r="52" s="367" customFormat="1" ht="12">
      <c r="A52" s="410" t="s">
        <v>201</v>
      </c>
      <c r="B52" s="411"/>
      <c r="C52" s="411"/>
      <c r="D52" s="411"/>
      <c r="E52" s="405">
        <f>SUM(E48:E51)</f>
        <v>261668.14935474034</v>
      </c>
    </row>
    <row r="53" s="367" customFormat="1" ht="12">
      <c r="A53" s="394" t="s">
        <v>207</v>
      </c>
      <c r="B53" s="411"/>
      <c r="C53" s="411"/>
      <c r="D53" s="411"/>
      <c r="E53" s="405">
        <f>E52*95%*1%</f>
        <v>2485.8474188700329</v>
      </c>
    </row>
    <row r="54" s="367" customFormat="1" ht="12">
      <c r="A54" s="394" t="s">
        <v>208</v>
      </c>
      <c r="B54" s="411"/>
      <c r="C54" s="411"/>
      <c r="D54" s="411"/>
      <c r="E54" s="405">
        <f>(E52+E53)*10%</f>
        <v>26415.399677361038</v>
      </c>
    </row>
    <row r="55" s="381" customFormat="1" ht="12">
      <c r="A55" s="382" t="s">
        <v>94</v>
      </c>
      <c r="B55" s="383"/>
      <c r="C55" s="383"/>
      <c r="D55" s="383"/>
      <c r="E55" s="384">
        <f>E52+E53+E54</f>
        <v>290569.39645097137</v>
      </c>
      <c r="G55" s="396">
        <f>E55/E45*100</f>
        <v>144.74419805969609</v>
      </c>
    </row>
    <row r="56" s="367" customFormat="1" ht="12">
      <c r="B56" s="375"/>
      <c r="C56" s="375"/>
      <c r="D56" s="375"/>
      <c r="E56" s="375"/>
    </row>
  </sheetData>
  <mergeCells count="10">
    <mergeCell ref="A13:A14"/>
    <mergeCell ref="B13:D13"/>
    <mergeCell ref="E13:E14"/>
    <mergeCell ref="G13:I13"/>
    <mergeCell ref="J13:J14"/>
    <mergeCell ref="A32:A33"/>
    <mergeCell ref="B32:D32"/>
    <mergeCell ref="E32:E33"/>
    <mergeCell ref="G32:I32"/>
    <mergeCell ref="J32:J33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2">
    <outlinePr applyStyles="0" showOutlineSymbols="1" summaryBelow="1" summaryRight="1"/>
    <pageSetUpPr autoPageBreaks="1" fitToPage="1"/>
  </sheetPr>
  <sheetViews>
    <sheetView workbookViewId="0" zoomScale="60">
      <selection activeCell="P12" activeCellId="0" sqref="P12"/>
    </sheetView>
  </sheetViews>
  <sheetFormatPr defaultColWidth="10.33203125" defaultRowHeight="14.4"/>
  <cols>
    <col customWidth="1" min="1" max="1" style="1" width="4.5546875"/>
    <col customWidth="1" min="2" max="2" style="1" width="79.5546875"/>
    <col customWidth="1" min="3" max="3" style="1" width="14.6640625"/>
    <col customWidth="1" min="4" max="6" style="2" width="22.5546875"/>
    <col customWidth="1" min="7" max="7" style="46" width="22.5546875"/>
    <col customWidth="1" min="8" max="8" style="3" width="14.6640625"/>
    <col customWidth="1" min="9" max="9" style="3" width="10.44140625"/>
    <col min="10" max="16384" style="1" width="10.33203125"/>
  </cols>
  <sheetData>
    <row r="1" s="3" customFormat="1">
      <c r="A1" s="1"/>
      <c r="B1" s="1"/>
      <c r="C1" s="1"/>
      <c r="D1" s="2"/>
      <c r="E1" s="2"/>
      <c r="F1" s="2"/>
      <c r="G1" s="46"/>
      <c r="J1" s="1"/>
      <c r="K1" s="1"/>
      <c r="L1" s="1"/>
      <c r="M1" s="1"/>
      <c r="N1" s="1"/>
      <c r="O1" s="1"/>
      <c r="P1" s="1"/>
      <c r="Q1" s="1"/>
    </row>
    <row r="2" s="3" customFormat="1" ht="17.399999999999999">
      <c r="A2" s="9"/>
      <c r="B2" s="10" t="s">
        <v>2</v>
      </c>
      <c r="C2" s="10"/>
      <c r="D2" s="10"/>
      <c r="E2" s="10"/>
      <c r="F2" s="10"/>
      <c r="G2" s="10"/>
      <c r="H2" s="11"/>
      <c r="I2" s="12"/>
    </row>
    <row r="3" s="3" customFormat="1" ht="17.399999999999999">
      <c r="A3" s="9"/>
      <c r="B3" s="10" t="s">
        <v>3</v>
      </c>
      <c r="C3" s="10"/>
      <c r="D3" s="10"/>
      <c r="E3" s="10"/>
      <c r="F3" s="10"/>
      <c r="G3" s="10"/>
    </row>
    <row r="4" s="3" customFormat="1" ht="20.25" customHeight="1">
      <c r="A4" s="9"/>
      <c r="B4" s="13" t="s">
        <v>4</v>
      </c>
      <c r="C4" s="13"/>
      <c r="D4" s="13"/>
      <c r="E4" s="13"/>
      <c r="F4" s="13"/>
      <c r="G4" s="13"/>
    </row>
    <row r="5" s="3" customFormat="1" ht="21" customHeight="1">
      <c r="A5" s="9"/>
      <c r="B5" s="13" t="s">
        <v>6</v>
      </c>
      <c r="C5" s="13"/>
      <c r="D5" s="13"/>
      <c r="E5" s="13"/>
      <c r="F5" s="13"/>
      <c r="G5" s="13"/>
    </row>
    <row r="6" s="3" customFormat="1" ht="12.75" customHeight="1">
      <c r="A6" s="9"/>
      <c r="B6" s="47"/>
      <c r="C6" s="48"/>
      <c r="D6" s="49"/>
      <c r="E6" s="49"/>
      <c r="F6" s="49"/>
      <c r="G6" s="46"/>
    </row>
    <row r="7" s="3" customFormat="1" ht="16.5" customHeight="1">
      <c r="A7" s="50" t="s">
        <v>38</v>
      </c>
      <c r="B7" s="50"/>
      <c r="C7" s="50"/>
      <c r="D7" s="50"/>
      <c r="E7" s="50"/>
      <c r="F7" s="50"/>
      <c r="G7" s="50"/>
    </row>
    <row r="8" s="3" customFormat="1" ht="16.5" customHeight="1">
      <c r="A8" s="1"/>
      <c r="B8" s="3">
        <v>11847</v>
      </c>
      <c r="C8" s="3">
        <v>37415.199999999997</v>
      </c>
      <c r="D8" s="3"/>
      <c r="E8" s="3"/>
      <c r="F8" s="3"/>
      <c r="G8" s="46"/>
    </row>
    <row r="9" s="51" customFormat="1" ht="64.5" customHeight="1">
      <c r="A9" s="52"/>
      <c r="B9" s="17" t="s">
        <v>9</v>
      </c>
      <c r="C9" s="17" t="s">
        <v>10</v>
      </c>
      <c r="D9" s="17" t="s">
        <v>11</v>
      </c>
      <c r="E9" s="17" t="s">
        <v>12</v>
      </c>
      <c r="F9" s="17" t="s">
        <v>13</v>
      </c>
      <c r="G9" s="17" t="s">
        <v>14</v>
      </c>
    </row>
    <row r="10" s="51" customFormat="1" ht="35.25" customHeight="1">
      <c r="A10" s="53" t="s">
        <v>15</v>
      </c>
      <c r="B10" s="54" t="s">
        <v>39</v>
      </c>
      <c r="C10" s="53"/>
      <c r="D10" s="55">
        <f>SUM(D11:D22)</f>
        <v>39.07</v>
      </c>
      <c r="E10" s="55">
        <f>SUM(E11:E22)</f>
        <v>48.781365073606331</v>
      </c>
      <c r="F10" s="55">
        <f t="shared" ref="F10:F25" si="2">E10-D10</f>
        <v>9.7113650736063306</v>
      </c>
      <c r="G10" s="55">
        <f t="shared" ref="G10:G25" si="3">E10/D10*100-100</f>
        <v>24.8563221745747</v>
      </c>
    </row>
    <row r="11" s="51" customFormat="1" ht="42.600000000000001" customHeight="1">
      <c r="A11" s="31"/>
      <c r="B11" s="35" t="s">
        <v>17</v>
      </c>
      <c r="C11" s="34" t="s">
        <v>18</v>
      </c>
      <c r="D11" s="27">
        <v>5.7199999999999998</v>
      </c>
      <c r="E11" s="27">
        <f>Разъяснения!Q12</f>
        <v>7.9307183095848854</v>
      </c>
      <c r="F11" s="27">
        <f t="shared" si="2"/>
        <v>2.2107183095848857</v>
      </c>
      <c r="G11" s="27">
        <f t="shared" si="3"/>
        <v>38.648921496239268</v>
      </c>
      <c r="I11" s="56"/>
      <c r="J11" s="57"/>
    </row>
    <row r="12" s="58" customFormat="1" ht="42.600000000000001" customHeight="1">
      <c r="A12" s="52"/>
      <c r="B12" s="33" t="s">
        <v>19</v>
      </c>
      <c r="C12" s="34" t="s">
        <v>18</v>
      </c>
      <c r="D12" s="37">
        <v>6.3300000000000001</v>
      </c>
      <c r="E12" s="37">
        <v>6.3300000000000001</v>
      </c>
      <c r="F12" s="37">
        <f t="shared" si="2"/>
        <v>0</v>
      </c>
      <c r="G12" s="37">
        <f t="shared" si="3"/>
        <v>0</v>
      </c>
      <c r="H12" s="51"/>
      <c r="I12" s="56"/>
      <c r="J12" s="57"/>
    </row>
    <row r="13" s="58" customFormat="1" ht="42.600000000000001" customHeight="1">
      <c r="A13" s="31"/>
      <c r="B13" s="33" t="s">
        <v>21</v>
      </c>
      <c r="C13" s="34" t="s">
        <v>18</v>
      </c>
      <c r="D13" s="37">
        <v>7.5899999999999999</v>
      </c>
      <c r="E13" s="37">
        <v>7.5899999999999999</v>
      </c>
      <c r="F13" s="37">
        <f t="shared" si="2"/>
        <v>0</v>
      </c>
      <c r="G13" s="37">
        <f t="shared" si="3"/>
        <v>0</v>
      </c>
      <c r="H13" s="51"/>
      <c r="I13" s="56"/>
      <c r="J13" s="57"/>
    </row>
    <row r="14" s="51" customFormat="1" ht="42.600000000000001" customHeight="1">
      <c r="A14" s="31"/>
      <c r="B14" s="33" t="s">
        <v>22</v>
      </c>
      <c r="C14" s="34" t="s">
        <v>18</v>
      </c>
      <c r="D14" s="27">
        <v>0.78000000000000003</v>
      </c>
      <c r="E14" s="27">
        <f>'Слаб., тепл.системы'!H34</f>
        <v>1.1290047448656295</v>
      </c>
      <c r="F14" s="27">
        <f t="shared" si="2"/>
        <v>0.34900474486562949</v>
      </c>
      <c r="G14" s="27">
        <f t="shared" si="3"/>
        <v>44.744198059696089</v>
      </c>
      <c r="I14" s="56"/>
      <c r="J14" s="57"/>
    </row>
    <row r="15" s="51" customFormat="1" ht="42.600000000000001" customHeight="1">
      <c r="A15" s="31"/>
      <c r="B15" s="25" t="s">
        <v>23</v>
      </c>
      <c r="C15" s="34" t="s">
        <v>18</v>
      </c>
      <c r="D15" s="27">
        <f>0.46+0.24</f>
        <v>0.69999999999999996</v>
      </c>
      <c r="E15" s="27">
        <f>'Слаб., тепл.системы'!H35+'Слаб., тепл.системы'!H37</f>
        <v>1.0132093864178726</v>
      </c>
      <c r="F15" s="27">
        <f t="shared" si="2"/>
        <v>0.31320938641787266</v>
      </c>
      <c r="G15" s="27">
        <f t="shared" si="3"/>
        <v>44.744198059696089</v>
      </c>
      <c r="I15" s="56"/>
      <c r="J15" s="57"/>
    </row>
    <row r="16" s="51" customFormat="1" ht="42.600000000000001" customHeight="1">
      <c r="A16" s="31"/>
      <c r="B16" s="33" t="s">
        <v>25</v>
      </c>
      <c r="C16" s="34" t="s">
        <v>18</v>
      </c>
      <c r="D16" s="37">
        <v>0.17000000000000001</v>
      </c>
      <c r="E16" s="37">
        <v>0.17000000000000001</v>
      </c>
      <c r="F16" s="37">
        <f t="shared" si="2"/>
        <v>0</v>
      </c>
      <c r="G16" s="37">
        <f t="shared" si="3"/>
        <v>0</v>
      </c>
      <c r="I16" s="56"/>
      <c r="J16" s="57"/>
    </row>
    <row r="17" s="58" customFormat="1" ht="42.600000000000001" customHeight="1">
      <c r="A17" s="31"/>
      <c r="B17" s="25" t="s">
        <v>27</v>
      </c>
      <c r="C17" s="34" t="s">
        <v>18</v>
      </c>
      <c r="D17" s="27">
        <f>3.1+5.5</f>
        <v>8.5999999999999996</v>
      </c>
      <c r="E17" s="27">
        <f>3.1+'Слаб., тепл.системы'!H16</f>
        <v>12.918055436469249</v>
      </c>
      <c r="F17" s="27">
        <f t="shared" si="2"/>
        <v>4.3180554364692494</v>
      </c>
      <c r="G17" s="27">
        <f t="shared" si="3"/>
        <v>50.209946935688947</v>
      </c>
      <c r="H17" s="51"/>
      <c r="I17" s="56"/>
      <c r="J17" s="59"/>
    </row>
    <row r="18" s="58" customFormat="1" ht="42.600000000000001" customHeight="1">
      <c r="A18" s="31"/>
      <c r="B18" s="25" t="s">
        <v>28</v>
      </c>
      <c r="C18" s="34" t="s">
        <v>18</v>
      </c>
      <c r="D18" s="37">
        <v>0.34000000000000002</v>
      </c>
      <c r="E18" s="37">
        <v>0.34000000000000002</v>
      </c>
      <c r="F18" s="37">
        <f t="shared" si="2"/>
        <v>0</v>
      </c>
      <c r="G18" s="37">
        <f t="shared" si="3"/>
        <v>0</v>
      </c>
      <c r="H18" s="51"/>
      <c r="I18" s="56"/>
      <c r="J18" s="59"/>
    </row>
    <row r="19" s="58" customFormat="1" ht="42.600000000000001" customHeight="1">
      <c r="A19" s="31"/>
      <c r="B19" s="25" t="s">
        <v>29</v>
      </c>
      <c r="C19" s="34" t="s">
        <v>18</v>
      </c>
      <c r="D19" s="37">
        <v>0.40000000000000002</v>
      </c>
      <c r="E19" s="37">
        <v>0.40000000000000002</v>
      </c>
      <c r="F19" s="37">
        <f t="shared" si="2"/>
        <v>0</v>
      </c>
      <c r="G19" s="37">
        <f t="shared" si="3"/>
        <v>0</v>
      </c>
      <c r="H19" s="51"/>
      <c r="I19" s="56"/>
      <c r="J19" s="59"/>
    </row>
    <row r="20" s="58" customFormat="1" ht="42.600000000000001" customHeight="1">
      <c r="A20" s="31"/>
      <c r="B20" s="33" t="s">
        <v>30</v>
      </c>
      <c r="C20" s="34" t="s">
        <v>18</v>
      </c>
      <c r="D20" s="27">
        <v>5.8600000000000003</v>
      </c>
      <c r="E20" s="27">
        <f>6.86+0.22</f>
        <v>7.0800000000000001</v>
      </c>
      <c r="F20" s="27">
        <f t="shared" si="2"/>
        <v>1.2199999999999998</v>
      </c>
      <c r="G20" s="27">
        <f t="shared" si="3"/>
        <v>20.819112627986343</v>
      </c>
      <c r="H20" s="51"/>
      <c r="I20" s="60"/>
      <c r="J20" s="57"/>
    </row>
    <row r="21" s="58" customFormat="1" ht="42.600000000000001" customHeight="1">
      <c r="A21" s="31"/>
      <c r="B21" s="33" t="s">
        <v>33</v>
      </c>
      <c r="C21" s="34" t="s">
        <v>18</v>
      </c>
      <c r="D21" s="27">
        <v>2.3599999999999999</v>
      </c>
      <c r="E21" s="27">
        <f>Разъяснения!Q18</f>
        <v>3.8803771962686944</v>
      </c>
      <c r="F21" s="27">
        <f t="shared" si="2"/>
        <v>1.5203771962686945</v>
      </c>
      <c r="G21" s="27">
        <f t="shared" si="3"/>
        <v>64.422762553758247</v>
      </c>
      <c r="H21" s="51"/>
      <c r="I21" s="56"/>
      <c r="J21" s="57"/>
    </row>
    <row r="22" s="58" customFormat="1" ht="46.799999999999997" customHeight="1">
      <c r="A22" s="31"/>
      <c r="B22" s="33" t="s">
        <v>34</v>
      </c>
      <c r="C22" s="34" t="s">
        <v>18</v>
      </c>
      <c r="D22" s="61">
        <v>0.22</v>
      </c>
      <c r="E22" s="61">
        <v>0</v>
      </c>
      <c r="F22" s="61">
        <f t="shared" si="2"/>
        <v>-0.22</v>
      </c>
      <c r="G22" s="61">
        <f t="shared" si="3"/>
        <v>-100</v>
      </c>
      <c r="H22" s="51"/>
      <c r="I22" s="56"/>
      <c r="J22" s="57"/>
    </row>
    <row r="24">
      <c r="I24" s="1"/>
    </row>
    <row r="25" ht="43.799999999999997" customHeight="1">
      <c r="A25" s="31"/>
      <c r="B25" s="33" t="s">
        <v>37</v>
      </c>
      <c r="C25" s="34" t="s">
        <v>18</v>
      </c>
      <c r="D25" s="27">
        <v>0.5</v>
      </c>
      <c r="E25" s="27">
        <v>1</v>
      </c>
      <c r="F25" s="27">
        <f t="shared" si="2"/>
        <v>0.5</v>
      </c>
      <c r="G25" s="27">
        <f t="shared" si="3"/>
        <v>100</v>
      </c>
      <c r="H25" s="3"/>
      <c r="I25" s="11"/>
      <c r="J25" s="11"/>
    </row>
    <row r="26">
      <c r="I26" s="1"/>
    </row>
    <row r="53">
      <c r="A53" s="1">
        <v>0</v>
      </c>
    </row>
    <row r="54">
      <c r="A54" s="1">
        <v>0</v>
      </c>
    </row>
    <row r="55">
      <c r="A55" s="1">
        <v>0</v>
      </c>
    </row>
    <row r="56">
      <c r="A56" s="1">
        <v>0</v>
      </c>
    </row>
    <row r="57">
      <c r="A57" s="1">
        <v>0</v>
      </c>
    </row>
    <row r="58">
      <c r="A58" s="1">
        <v>0</v>
      </c>
    </row>
    <row r="59">
      <c r="A59" s="1">
        <v>0</v>
      </c>
    </row>
    <row r="60">
      <c r="A60" s="1">
        <v>0</v>
      </c>
    </row>
    <row r="61">
      <c r="A61" s="1">
        <v>0</v>
      </c>
    </row>
    <row r="62">
      <c r="A62" s="1">
        <v>0</v>
      </c>
    </row>
    <row r="63">
      <c r="A63" s="1">
        <v>0</v>
      </c>
    </row>
    <row r="64">
      <c r="A64" s="1">
        <v>0</v>
      </c>
    </row>
    <row r="65">
      <c r="A65" s="1">
        <v>0</v>
      </c>
    </row>
    <row r="66">
      <c r="A66" s="1">
        <v>0</v>
      </c>
    </row>
    <row r="67">
      <c r="A67" s="1">
        <v>0</v>
      </c>
    </row>
    <row r="68">
      <c r="A68" s="1">
        <v>0</v>
      </c>
    </row>
    <row r="69">
      <c r="A69" s="1">
        <v>0</v>
      </c>
    </row>
    <row r="70">
      <c r="A70" s="1">
        <v>0</v>
      </c>
    </row>
    <row r="71">
      <c r="A71" s="1">
        <v>0</v>
      </c>
    </row>
    <row r="72">
      <c r="A72" s="1">
        <v>0</v>
      </c>
    </row>
    <row r="73">
      <c r="A73" s="1">
        <v>0</v>
      </c>
    </row>
    <row r="74">
      <c r="A74" s="1">
        <v>0</v>
      </c>
    </row>
    <row r="75">
      <c r="A75" s="1">
        <v>0</v>
      </c>
    </row>
    <row r="76">
      <c r="A76" s="1">
        <v>0</v>
      </c>
    </row>
    <row r="77">
      <c r="A77" s="1">
        <v>0</v>
      </c>
    </row>
    <row r="78">
      <c r="A78" s="1">
        <v>0</v>
      </c>
    </row>
    <row r="79">
      <c r="A79" s="1">
        <v>0</v>
      </c>
    </row>
    <row r="80">
      <c r="A80" s="1">
        <v>0</v>
      </c>
    </row>
    <row r="81">
      <c r="A81" s="1">
        <v>0</v>
      </c>
    </row>
    <row r="82">
      <c r="A82" s="1">
        <v>0</v>
      </c>
    </row>
    <row r="83">
      <c r="A83" s="1">
        <v>0</v>
      </c>
    </row>
    <row r="84">
      <c r="A84" s="1">
        <v>0</v>
      </c>
    </row>
    <row r="85">
      <c r="A85" s="1">
        <v>0</v>
      </c>
    </row>
    <row r="86">
      <c r="A86" s="1">
        <v>0</v>
      </c>
    </row>
    <row r="87">
      <c r="A87" s="1">
        <v>0</v>
      </c>
    </row>
    <row r="88">
      <c r="A88" s="1">
        <v>0</v>
      </c>
    </row>
    <row r="89">
      <c r="A89" s="1">
        <v>0</v>
      </c>
    </row>
    <row r="90">
      <c r="A90" s="1">
        <v>0</v>
      </c>
    </row>
    <row r="91">
      <c r="A91" s="1">
        <v>0</v>
      </c>
    </row>
    <row r="92">
      <c r="A92" s="1">
        <v>0</v>
      </c>
    </row>
    <row r="93">
      <c r="A93" s="1">
        <v>0</v>
      </c>
    </row>
    <row r="94">
      <c r="A94" s="1">
        <v>0</v>
      </c>
    </row>
    <row r="95">
      <c r="A95" s="1">
        <v>0</v>
      </c>
    </row>
    <row r="96">
      <c r="A96" s="1">
        <v>0</v>
      </c>
    </row>
    <row r="97">
      <c r="A97" s="1">
        <v>0</v>
      </c>
    </row>
    <row r="98">
      <c r="A98" s="1">
        <v>0</v>
      </c>
    </row>
    <row r="99">
      <c r="A99" s="1">
        <v>0</v>
      </c>
    </row>
    <row r="100">
      <c r="A100" s="1">
        <v>0</v>
      </c>
    </row>
    <row r="101">
      <c r="A101" s="1">
        <v>0</v>
      </c>
    </row>
    <row r="102">
      <c r="A102" s="1">
        <v>0</v>
      </c>
    </row>
    <row r="103">
      <c r="A103" s="1">
        <v>0</v>
      </c>
    </row>
    <row r="104">
      <c r="A104" s="1">
        <v>0</v>
      </c>
    </row>
    <row r="105">
      <c r="A105" s="1">
        <v>0</v>
      </c>
    </row>
    <row r="106">
      <c r="A106" s="1">
        <v>0</v>
      </c>
    </row>
    <row r="107">
      <c r="A107" s="1">
        <v>0</v>
      </c>
    </row>
    <row r="108">
      <c r="A108" s="1">
        <v>0</v>
      </c>
    </row>
    <row r="109">
      <c r="A109" s="1">
        <v>0</v>
      </c>
    </row>
    <row r="110">
      <c r="A110" s="1">
        <v>0</v>
      </c>
    </row>
    <row r="111">
      <c r="A111" s="1">
        <v>0</v>
      </c>
    </row>
    <row r="112">
      <c r="A112" s="1">
        <v>0</v>
      </c>
    </row>
    <row r="113">
      <c r="A113" s="1">
        <v>0</v>
      </c>
    </row>
    <row r="114">
      <c r="A114" s="1">
        <v>0</v>
      </c>
    </row>
    <row r="115">
      <c r="A115" s="1">
        <v>0</v>
      </c>
    </row>
    <row r="116">
      <c r="A116" s="1">
        <v>0</v>
      </c>
    </row>
    <row r="117">
      <c r="A117" s="1">
        <v>0</v>
      </c>
    </row>
    <row r="118">
      <c r="A118" s="1">
        <v>0</v>
      </c>
    </row>
    <row r="119">
      <c r="A119" s="1">
        <v>0</v>
      </c>
    </row>
    <row r="120">
      <c r="A120" s="1">
        <v>0</v>
      </c>
    </row>
    <row r="121">
      <c r="A121" s="1">
        <v>0</v>
      </c>
    </row>
    <row r="122">
      <c r="A122" s="1">
        <v>0</v>
      </c>
    </row>
    <row r="123">
      <c r="A123" s="1">
        <v>0</v>
      </c>
    </row>
    <row r="124">
      <c r="A124" s="1">
        <v>0</v>
      </c>
    </row>
    <row r="125">
      <c r="A125" s="1">
        <v>0</v>
      </c>
    </row>
    <row r="126">
      <c r="A126" s="1">
        <v>0</v>
      </c>
    </row>
    <row r="127">
      <c r="A127" s="1">
        <v>0</v>
      </c>
    </row>
    <row r="128">
      <c r="A128" s="1">
        <v>0</v>
      </c>
    </row>
  </sheetData>
  <mergeCells count="5">
    <mergeCell ref="B2:G2"/>
    <mergeCell ref="B3:G3"/>
    <mergeCell ref="B4:G4"/>
    <mergeCell ref="B5:G5"/>
    <mergeCell ref="A7:G7"/>
  </mergeCells>
  <printOptions headings="0" gridLines="0"/>
  <pageMargins left="0.03937007874015748" right="0.03937007874015748" top="0.55118110236220474" bottom="0.15748031496062992" header="0.11811023622047245" footer="0.11811023622047245"/>
  <pageSetup paperSize="9" scale="54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3">
    <outlinePr applyStyles="0" showOutlineSymbols="1" summaryBelow="1" summaryRight="1"/>
    <pageSetUpPr autoPageBreaks="1" fitToPage="1"/>
  </sheetPr>
  <sheetViews>
    <sheetView topLeftCell="A3" workbookViewId="0" zoomScale="60">
      <selection activeCell="L17" activeCellId="0" sqref="L17"/>
    </sheetView>
  </sheetViews>
  <sheetFormatPr defaultRowHeight="13.199999999999999"/>
  <cols>
    <col customWidth="1" min="1" max="1" width="3.44140625"/>
    <col customWidth="1" min="2" max="2" width="68"/>
    <col customWidth="1" min="3" max="3" width="16.6640625"/>
    <col customWidth="1" min="4" max="4" style="62" width="20.33203125"/>
    <col customWidth="1" min="5" max="6" width="20.33203125"/>
    <col customWidth="1" min="7" max="7" style="63" width="20.33203125"/>
    <col customWidth="1" min="8" max="8" width="6.88671875"/>
    <col customWidth="1" min="9" max="9" width="16.77734375"/>
  </cols>
  <sheetData>
    <row r="1" ht="16.5" hidden="1" customHeight="1">
      <c r="B1" s="64" t="s">
        <v>40</v>
      </c>
      <c r="C1" s="65"/>
      <c r="D1" s="65"/>
      <c r="E1" s="65"/>
      <c r="F1" s="65"/>
      <c r="G1" s="65"/>
    </row>
    <row r="2" ht="18" hidden="1" customHeight="1">
      <c r="B2" s="64" t="s">
        <v>41</v>
      </c>
      <c r="C2" s="65"/>
      <c r="D2" s="65"/>
      <c r="E2" s="65"/>
      <c r="F2" s="65"/>
      <c r="G2" s="65"/>
    </row>
    <row r="3" ht="18" customHeight="1">
      <c r="B3" s="64"/>
      <c r="C3" s="65"/>
      <c r="D3" s="65"/>
      <c r="E3" s="65"/>
      <c r="F3" s="65"/>
      <c r="G3" s="65"/>
    </row>
    <row r="4" ht="18" customHeight="1">
      <c r="A4" s="10" t="s">
        <v>2</v>
      </c>
      <c r="B4" s="10"/>
      <c r="C4" s="10"/>
      <c r="D4" s="10"/>
      <c r="E4" s="10"/>
      <c r="F4" s="10"/>
      <c r="G4" s="10"/>
      <c r="H4" s="66"/>
    </row>
    <row r="5" ht="21.600000000000001" customHeight="1">
      <c r="A5" s="10" t="s">
        <v>42</v>
      </c>
      <c r="B5" s="10"/>
      <c r="C5" s="10"/>
      <c r="D5" s="10"/>
      <c r="E5" s="10"/>
      <c r="F5" s="10"/>
      <c r="G5" s="10"/>
    </row>
    <row r="6" ht="18.75" customHeight="1">
      <c r="A6" s="10" t="s">
        <v>4</v>
      </c>
      <c r="B6" s="10"/>
      <c r="C6" s="10"/>
      <c r="D6" s="10"/>
      <c r="E6" s="10"/>
      <c r="F6" s="10"/>
      <c r="G6" s="10"/>
    </row>
    <row r="7" ht="18" customHeight="1">
      <c r="A7" s="10" t="s">
        <v>6</v>
      </c>
      <c r="B7" s="10"/>
      <c r="C7" s="10"/>
      <c r="D7" s="10"/>
      <c r="E7" s="10"/>
      <c r="F7" s="10"/>
      <c r="G7" s="10"/>
    </row>
    <row r="8" ht="21" customHeight="1">
      <c r="A8" s="10" t="s">
        <v>43</v>
      </c>
      <c r="B8" s="10"/>
      <c r="C8" s="10"/>
      <c r="D8" s="10"/>
      <c r="E8" s="10"/>
      <c r="F8" s="10"/>
      <c r="G8" s="10"/>
    </row>
    <row r="9">
      <c r="A9" s="67"/>
      <c r="B9" s="68" t="s">
        <v>44</v>
      </c>
      <c r="C9" s="69"/>
      <c r="D9" s="69"/>
      <c r="E9" s="70"/>
      <c r="F9" s="70"/>
    </row>
    <row r="10" s="71" customFormat="1" ht="46.200000000000003" customHeight="1">
      <c r="A10" s="72"/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45</v>
      </c>
      <c r="G10" s="17" t="s">
        <v>14</v>
      </c>
    </row>
    <row r="11" s="71" customFormat="1" ht="33" customHeight="1">
      <c r="A11" s="53" t="s">
        <v>15</v>
      </c>
      <c r="B11" s="73" t="s">
        <v>46</v>
      </c>
      <c r="C11" s="74"/>
      <c r="D11" s="55">
        <f>SUM(D12:D24)</f>
        <v>2147.2600000000002</v>
      </c>
      <c r="E11" s="55">
        <f>SUM(E12:E24)+0.01</f>
        <v>2536.4231713933341</v>
      </c>
      <c r="F11" s="55">
        <f t="shared" ref="F11:F27" si="4">E11-D11</f>
        <v>389.16317139333387</v>
      </c>
      <c r="G11" s="55">
        <f t="shared" ref="G11:G24" si="5">E11/D11*100-100</f>
        <v>18.123709815920463</v>
      </c>
    </row>
    <row r="12" s="71" customFormat="1" ht="40.799999999999997" customHeight="1">
      <c r="A12" s="75"/>
      <c r="B12" s="76" t="s">
        <v>47</v>
      </c>
      <c r="C12" s="77" t="s">
        <v>48</v>
      </c>
      <c r="D12" s="78">
        <v>191.56</v>
      </c>
      <c r="E12" s="78">
        <f>Разъяснения!Q12*(Разъяснения!B5/Разъяснения!B7)</f>
        <v>264.72737717394352</v>
      </c>
      <c r="F12" s="78">
        <f t="shared" si="4"/>
        <v>73.167377173943521</v>
      </c>
      <c r="G12" s="79">
        <f t="shared" si="5"/>
        <v>38.195540391492756</v>
      </c>
    </row>
    <row r="13" s="71" customFormat="1" ht="40.799999999999997" customHeight="1">
      <c r="A13" s="75"/>
      <c r="B13" s="76" t="s">
        <v>49</v>
      </c>
      <c r="C13" s="80" t="s">
        <v>48</v>
      </c>
      <c r="D13" s="81">
        <v>202.19</v>
      </c>
      <c r="E13" s="81">
        <v>202.19</v>
      </c>
      <c r="F13" s="81">
        <f t="shared" si="4"/>
        <v>0</v>
      </c>
      <c r="G13" s="80">
        <f t="shared" si="5"/>
        <v>0</v>
      </c>
    </row>
    <row r="14" s="71" customFormat="1" ht="40.799999999999997" customHeight="1">
      <c r="A14" s="75"/>
      <c r="B14" s="82" t="s">
        <v>50</v>
      </c>
      <c r="C14" s="80" t="s">
        <v>48</v>
      </c>
      <c r="D14" s="78">
        <v>73.010000000000005</v>
      </c>
      <c r="E14" s="78">
        <f>Разъяснения!P24</f>
        <v>93.141422026244214</v>
      </c>
      <c r="F14" s="78">
        <f t="shared" si="4"/>
        <v>20.131422026244209</v>
      </c>
      <c r="G14" s="79">
        <f t="shared" si="5"/>
        <v>27.573513253313521</v>
      </c>
    </row>
    <row r="15" s="71" customFormat="1" ht="40.799999999999997" customHeight="1">
      <c r="A15" s="75"/>
      <c r="B15" s="76" t="s">
        <v>51</v>
      </c>
      <c r="C15" s="80" t="s">
        <v>48</v>
      </c>
      <c r="D15" s="78">
        <v>133.59999999999999</v>
      </c>
      <c r="E15" s="78">
        <f>'Слаб., тепл.системы'!I38</f>
        <v>193.37824860775396</v>
      </c>
      <c r="F15" s="78">
        <f t="shared" si="4"/>
        <v>59.778248607753966</v>
      </c>
      <c r="G15" s="79">
        <f t="shared" si="5"/>
        <v>44.744198059696089</v>
      </c>
    </row>
    <row r="16" s="71" customFormat="1" ht="40.799999999999997" customHeight="1">
      <c r="A16" s="75"/>
      <c r="B16" s="76" t="s">
        <v>52</v>
      </c>
      <c r="C16" s="80" t="s">
        <v>48</v>
      </c>
      <c r="D16" s="78">
        <v>32.380000000000003</v>
      </c>
      <c r="E16" s="78">
        <f>'Слаб., тепл.системы'!I39</f>
        <v>46.868171331729599</v>
      </c>
      <c r="F16" s="78">
        <f t="shared" si="4"/>
        <v>14.488171331729596</v>
      </c>
      <c r="G16" s="79">
        <f t="shared" si="5"/>
        <v>44.744198059696089</v>
      </c>
    </row>
    <row r="17" s="71" customFormat="1" ht="40.799999999999997" customHeight="1">
      <c r="A17" s="75"/>
      <c r="B17" s="76" t="s">
        <v>53</v>
      </c>
      <c r="C17" s="80" t="s">
        <v>48</v>
      </c>
      <c r="D17" s="78">
        <f>16.6+17.4</f>
        <v>34</v>
      </c>
      <c r="E17" s="78">
        <f>'Слаб., тепл.системы'!I40+'Слаб., тепл.системы'!I43</f>
        <v>49.213027340296662</v>
      </c>
      <c r="F17" s="78">
        <f t="shared" si="4"/>
        <v>15.213027340296662</v>
      </c>
      <c r="G17" s="79">
        <f t="shared" si="5"/>
        <v>44.74419805969606</v>
      </c>
    </row>
    <row r="18" s="71" customFormat="1" ht="40.799999999999997" customHeight="1">
      <c r="A18" s="75"/>
      <c r="B18" s="76" t="s">
        <v>54</v>
      </c>
      <c r="C18" s="80" t="s">
        <v>48</v>
      </c>
      <c r="D18" s="78">
        <v>68.519999999999996</v>
      </c>
      <c r="E18" s="78">
        <f>'Слаб., тепл.системы'!I41</f>
        <v>99.178724510503756</v>
      </c>
      <c r="F18" s="78">
        <f t="shared" si="4"/>
        <v>30.65872451050376</v>
      </c>
      <c r="G18" s="79">
        <f t="shared" si="5"/>
        <v>44.744198059696089</v>
      </c>
    </row>
    <row r="19" s="71" customFormat="1" ht="40.799999999999997" customHeight="1">
      <c r="A19" s="75"/>
      <c r="B19" s="83" t="s">
        <v>55</v>
      </c>
      <c r="C19" s="80" t="s">
        <v>48</v>
      </c>
      <c r="D19" s="78">
        <f>48.92+8.9</f>
        <v>57.82</v>
      </c>
      <c r="E19" s="78">
        <f>'Слаб., тепл.системы'!I42+'Слаб., тепл.системы'!I44</f>
        <v>83.691095318116282</v>
      </c>
      <c r="F19" s="78">
        <f t="shared" si="4"/>
        <v>25.871095318116282</v>
      </c>
      <c r="G19" s="79">
        <f t="shared" si="5"/>
        <v>44.744198059696089</v>
      </c>
    </row>
    <row r="20" s="71" customFormat="1" ht="43.799999999999997" customHeight="1">
      <c r="A20" s="75"/>
      <c r="B20" s="25" t="s">
        <v>27</v>
      </c>
      <c r="C20" s="80" t="s">
        <v>48</v>
      </c>
      <c r="D20" s="81">
        <v>25.899999999999999</v>
      </c>
      <c r="E20" s="81">
        <v>25.899999999999999</v>
      </c>
      <c r="F20" s="81">
        <f t="shared" si="4"/>
        <v>0</v>
      </c>
      <c r="G20" s="80">
        <f t="shared" si="5"/>
        <v>0</v>
      </c>
    </row>
    <row r="21" s="71" customFormat="1" ht="43.799999999999997" customHeight="1">
      <c r="A21" s="75"/>
      <c r="B21" s="25" t="s">
        <v>28</v>
      </c>
      <c r="C21" s="80" t="s">
        <v>48</v>
      </c>
      <c r="D21" s="81">
        <v>2.8799999999999999</v>
      </c>
      <c r="E21" s="81">
        <v>2.8799999999999999</v>
      </c>
      <c r="F21" s="81">
        <f t="shared" si="4"/>
        <v>0</v>
      </c>
      <c r="G21" s="80">
        <f t="shared" si="5"/>
        <v>0</v>
      </c>
    </row>
    <row r="22" s="71" customFormat="1" ht="43.799999999999997" customHeight="1">
      <c r="A22" s="75"/>
      <c r="B22" s="25" t="s">
        <v>29</v>
      </c>
      <c r="C22" s="80" t="s">
        <v>48</v>
      </c>
      <c r="D22" s="81">
        <v>3.3599999999999999</v>
      </c>
      <c r="E22" s="81">
        <v>3.3599999999999999</v>
      </c>
      <c r="F22" s="81">
        <f t="shared" si="4"/>
        <v>0</v>
      </c>
      <c r="G22" s="80">
        <f t="shared" si="5"/>
        <v>0</v>
      </c>
    </row>
    <row r="23" s="71" customFormat="1" ht="40.799999999999997" customHeight="1">
      <c r="A23" s="75"/>
      <c r="B23" s="83" t="s">
        <v>56</v>
      </c>
      <c r="C23" s="80" t="s">
        <v>48</v>
      </c>
      <c r="D23" s="78">
        <f>195.5+0.7</f>
        <v>196.19999999999999</v>
      </c>
      <c r="E23" s="78">
        <f>6.86*(Разъяснения!B5/Разъяснения!B7)+0.7</f>
        <v>229.68680000000001</v>
      </c>
      <c r="F23" s="78">
        <f t="shared" si="4"/>
        <v>33.486800000000017</v>
      </c>
      <c r="G23" s="79">
        <f t="shared" si="5"/>
        <v>17.067686034658507</v>
      </c>
    </row>
    <row r="24" s="71" customFormat="1" ht="40.799999999999997" customHeight="1">
      <c r="A24" s="75"/>
      <c r="B24" s="84" t="s">
        <v>57</v>
      </c>
      <c r="C24" s="80" t="s">
        <v>48</v>
      </c>
      <c r="D24" s="78">
        <v>1125.8399999999999</v>
      </c>
      <c r="E24" s="78">
        <f>Разъяснения!E32</f>
        <v>1242.1983050847457</v>
      </c>
      <c r="F24" s="78">
        <f t="shared" si="4"/>
        <v>116.35830508474578</v>
      </c>
      <c r="G24" s="79">
        <f t="shared" si="5"/>
        <v>10.335243470186327</v>
      </c>
      <c r="H24" s="71"/>
      <c r="I24" s="71"/>
      <c r="J24" s="71"/>
      <c r="K24" s="71"/>
      <c r="L24" s="71"/>
      <c r="M24" s="71"/>
      <c r="N24" s="71"/>
      <c r="O24" s="71"/>
      <c r="P24" s="71"/>
    </row>
    <row r="25" ht="13.800000000000001">
      <c r="A25" s="85"/>
      <c r="B25" s="85"/>
      <c r="C25" s="85"/>
      <c r="D25" s="85"/>
      <c r="E25" s="86"/>
      <c r="F25" s="86"/>
      <c r="G25" s="87"/>
    </row>
    <row r="26" ht="13.800000000000001">
      <c r="A26" s="86"/>
      <c r="B26" s="86"/>
      <c r="C26" s="86"/>
      <c r="D26" s="86"/>
      <c r="E26" s="86"/>
      <c r="F26" s="86"/>
      <c r="G26" s="87"/>
    </row>
    <row r="27" s="1" customFormat="1" ht="43.799999999999997" customHeight="1">
      <c r="A27" s="31"/>
      <c r="B27" s="33" t="s">
        <v>37</v>
      </c>
      <c r="C27" s="80" t="s">
        <v>48</v>
      </c>
      <c r="D27" s="27"/>
      <c r="E27" s="27">
        <v>33.390000000000001</v>
      </c>
      <c r="F27" s="27">
        <f t="shared" si="4"/>
        <v>33.390000000000001</v>
      </c>
      <c r="G27" s="27">
        <v>100</v>
      </c>
      <c r="H27" s="3"/>
      <c r="I27" s="11"/>
      <c r="J27" s="11"/>
    </row>
  </sheetData>
  <mergeCells count="7">
    <mergeCell ref="A8:G8"/>
    <mergeCell ref="B1:G1"/>
    <mergeCell ref="B2:G2"/>
    <mergeCell ref="A4:G4"/>
    <mergeCell ref="A5:G5"/>
    <mergeCell ref="A6:G6"/>
    <mergeCell ref="A7:G7"/>
  </mergeCells>
  <printOptions headings="0" gridLines="0"/>
  <pageMargins left="0.19685039370078738" right="0.19685039370078738" top="0.19685039370078738" bottom="0.15748031496062992" header="0.19685039370078738" footer="0.11811023622047245"/>
  <pageSetup paperSize="9" scale="74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4">
    <outlinePr applyStyles="0" showOutlineSymbols="1" summaryBelow="1" summaryRight="1"/>
    <pageSetUpPr autoPageBreaks="1" fitToPage="1"/>
  </sheetPr>
  <sheetViews>
    <sheetView workbookViewId="0" zoomScale="100">
      <pane activePane="bottomRight" state="frozen" topLeftCell="B3" xSplit="1" ySplit="2"/>
      <selection activeCell="AD25" activeCellId="0" sqref="AD25"/>
    </sheetView>
  </sheetViews>
  <sheetFormatPr defaultRowHeight="14.4" outlineLevelCol="1"/>
  <cols>
    <col customWidth="1" min="1" max="1" style="89" width="64"/>
    <col customWidth="1" hidden="1" min="2" max="3" outlineLevel="1" style="89" width="16.109375"/>
    <col customWidth="1" hidden="1" min="4" max="4" outlineLevel="1" style="89" width="16.33203125"/>
    <col customWidth="1" hidden="1" min="5" max="6" outlineLevel="1" style="89" width="14.88671875"/>
    <col customWidth="1" hidden="1" min="7" max="7" outlineLevel="1" style="89" width="15.33203125"/>
    <col customWidth="1" hidden="1" min="8" max="8" outlineLevel="1" style="89" width="9.44140625"/>
    <col collapsed="1" customWidth="1" min="9" max="9" style="89" width="15.33203125"/>
    <col customWidth="1" min="10" max="15" style="89" width="15.33203125"/>
    <col customWidth="1" min="16" max="16" style="89" width="6"/>
    <col customWidth="1" min="17" max="23" style="89" width="15.33203125"/>
    <col customWidth="1" min="24" max="24" style="89" width="9"/>
    <col customWidth="1" min="25" max="31" style="89" width="15.33203125"/>
    <col customWidth="1" min="32" max="32" style="89" width="7.5546875"/>
    <col customWidth="1" min="33" max="33" style="89" width="10.88671875"/>
    <col min="34" max="35" style="89" width="8.88671875"/>
    <col min="36" max="16384" style="88" width="8.88671875"/>
  </cols>
  <sheetData>
    <row r="1" ht="32.399999999999999" customHeight="1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ht="27.600000000000001" customHeight="1">
      <c r="A2" s="91" t="s">
        <v>59</v>
      </c>
      <c r="B2" s="92" t="s">
        <v>60</v>
      </c>
      <c r="C2" s="92" t="s">
        <v>61</v>
      </c>
      <c r="D2" s="92" t="s">
        <v>62</v>
      </c>
      <c r="E2" s="92" t="s">
        <v>63</v>
      </c>
      <c r="F2" s="93" t="s">
        <v>64</v>
      </c>
      <c r="G2" s="94" t="s">
        <v>65</v>
      </c>
      <c r="H2" s="95"/>
      <c r="I2" s="96" t="s">
        <v>66</v>
      </c>
      <c r="J2" s="97" t="s">
        <v>67</v>
      </c>
      <c r="K2" s="98" t="s">
        <v>68</v>
      </c>
      <c r="L2" s="99" t="s">
        <v>69</v>
      </c>
      <c r="M2" s="100" t="s">
        <v>70</v>
      </c>
      <c r="N2" s="100" t="s">
        <v>13</v>
      </c>
      <c r="O2" s="101" t="s">
        <v>14</v>
      </c>
      <c r="P2" s="102"/>
      <c r="Q2" s="96" t="s">
        <v>71</v>
      </c>
      <c r="R2" s="97" t="s">
        <v>72</v>
      </c>
      <c r="S2" s="98" t="s">
        <v>68</v>
      </c>
      <c r="T2" s="99" t="s">
        <v>69</v>
      </c>
      <c r="U2" s="100" t="s">
        <v>70</v>
      </c>
      <c r="V2" s="100" t="s">
        <v>13</v>
      </c>
      <c r="W2" s="101" t="s">
        <v>14</v>
      </c>
      <c r="X2" s="102"/>
      <c r="Y2" s="96" t="s">
        <v>73</v>
      </c>
      <c r="Z2" s="97" t="s">
        <v>74</v>
      </c>
      <c r="AA2" s="98" t="s">
        <v>68</v>
      </c>
      <c r="AB2" s="99" t="s">
        <v>69</v>
      </c>
      <c r="AC2" s="100" t="s">
        <v>70</v>
      </c>
      <c r="AD2" s="100" t="s">
        <v>13</v>
      </c>
      <c r="AE2" s="101" t="s">
        <v>14</v>
      </c>
      <c r="AF2" s="102"/>
    </row>
    <row r="3" s="103" customFormat="1" ht="24" customHeight="1">
      <c r="A3" s="104" t="s">
        <v>75</v>
      </c>
      <c r="B3" s="105">
        <f>('Тариф для ОСС_жилье'!E12*'Достаточность по ОСС'!AH6+'Тариф для ОСС_нежилье'!E11*'Достаточность по ОСС'!AH7+'Тариф для ОСС_паркинг'!E12*'Достаточность по ОСС'!AH10)*12</f>
        <v>6312930.4471551999</v>
      </c>
      <c r="C3" s="105">
        <f>(Разъяснения!N12+Разъяснения!O12)*12</f>
        <v>5739027.6792320004</v>
      </c>
      <c r="D3" s="105">
        <f t="shared" ref="D3:D17" si="6">B3-C3</f>
        <v>573902.76792319957</v>
      </c>
      <c r="E3" s="106">
        <f t="shared" ref="E3:E17" si="7">B3/C3*100-100</f>
        <v>9.9999999999999858</v>
      </c>
      <c r="F3" s="106">
        <f>B3/AH9/12</f>
        <v>7.9307183095848854</v>
      </c>
      <c r="G3" s="107">
        <f>C3/AH9/12</f>
        <v>7.2097439178044418</v>
      </c>
      <c r="H3" s="108"/>
      <c r="I3" s="109">
        <f>('Тариф для ОСС_жилье'!E12*'Достаточность по ОСС'!AH6)*12</f>
        <v>5480675.1576301791</v>
      </c>
      <c r="J3" s="105">
        <f>(Разъяснения!N12+Разъяснения!O12)*12/AH9*AH6</f>
        <v>4982431.961481981</v>
      </c>
      <c r="K3" s="110">
        <f t="shared" ref="K3:K17" si="8">(I3-J3)/I3*100</f>
        <v>9.0909090909090917</v>
      </c>
      <c r="L3" s="111">
        <f t="shared" ref="L3:L16" si="9">I3/$AH$6/12</f>
        <v>7.9307183095848854</v>
      </c>
      <c r="M3" s="106">
        <f t="shared" ref="M3:M16" si="10">J3/$AH$6/12</f>
        <v>7.2097439178044418</v>
      </c>
      <c r="N3" s="106">
        <f t="shared" ref="N3:N17" si="11">L3-M3</f>
        <v>0.72097439178044365</v>
      </c>
      <c r="O3" s="107">
        <f t="shared" ref="O3:O17" si="12">L3/M3*100-100</f>
        <v>9.9999999999999858</v>
      </c>
      <c r="P3" s="108"/>
      <c r="Q3" s="109">
        <f>('Тариф для ОСС_нежилье'!E11*'Достаточность по ОСС'!AH7)*12</f>
        <v>269974.34040756489</v>
      </c>
      <c r="R3" s="105">
        <f>(Разъяснения!N12+Разъяснения!O12)*12/AH9*AH7</f>
        <v>245431.2185523317</v>
      </c>
      <c r="S3" s="110">
        <f t="shared" ref="S3:S17" si="13">(Q3-R3)/Q3*100</f>
        <v>9.0909090909090953</v>
      </c>
      <c r="T3" s="111">
        <f t="shared" ref="T3:T16" si="14">Q3/$AH$7/12</f>
        <v>7.9307183095848863</v>
      </c>
      <c r="U3" s="106">
        <f t="shared" ref="U3:U16" si="15">R3/$AH$7/12</f>
        <v>7.2097439178044418</v>
      </c>
      <c r="V3" s="106">
        <f t="shared" ref="V3:V17" si="16">T3-U3</f>
        <v>0.72097439178044453</v>
      </c>
      <c r="W3" s="107">
        <f t="shared" ref="W3:W17" si="17">T3/U3*100-100</f>
        <v>10.000000000000014</v>
      </c>
      <c r="X3" s="108"/>
      <c r="Y3" s="109">
        <f>('Тариф для ОСС_паркинг'!E12*'Достаточность по ОСС'!AH10)*12</f>
        <v>562280.9491174561</v>
      </c>
      <c r="Z3" s="105">
        <f>(Разъяснения!N12+Разъяснения!O12)*12/AH9*AH8</f>
        <v>511164.49919768726</v>
      </c>
      <c r="AA3" s="110">
        <f t="shared" ref="AA3:AA17" si="18">(Y3-Z3)/Y3*100</f>
        <v>9.0909090909091095</v>
      </c>
      <c r="AB3" s="111">
        <f t="shared" ref="AB3:AB16" si="19">Y3/$AH$10/12</f>
        <v>264.72737717394358</v>
      </c>
      <c r="AC3" s="106">
        <f t="shared" ref="AC3:AC16" si="20">Z3/$AH$10/12</f>
        <v>240.66125197631229</v>
      </c>
      <c r="AD3" s="106">
        <f t="shared" ref="AD3:AD17" si="21">AB3-AC3</f>
        <v>24.066125197631294</v>
      </c>
      <c r="AE3" s="107">
        <f t="shared" ref="AE3:AE17" si="22">AB3/AC3*100-100</f>
        <v>10.000000000000028</v>
      </c>
      <c r="AF3" s="108"/>
      <c r="AG3" s="112"/>
      <c r="AH3" s="112"/>
      <c r="AI3" s="112"/>
    </row>
    <row r="4" s="103" customFormat="1" ht="24" customHeight="1">
      <c r="A4" s="104" t="s">
        <v>76</v>
      </c>
      <c r="B4" s="105">
        <f>('Тариф для ОСС_жилье'!E13*'Достаточность по ОСС'!AH6+'Тариф для ОСС_нежилье'!E12*'Достаточность по ОСС'!AH7+'Тариф для ОСС_паркинг'!E13*'Достаточность по ОСС'!AH10)*12</f>
        <v>5019402.9239999996</v>
      </c>
      <c r="C4" s="105">
        <v>3384926.6422848566</v>
      </c>
      <c r="D4" s="105">
        <f t="shared" si="6"/>
        <v>1634476.281715143</v>
      </c>
      <c r="E4" s="106">
        <f t="shared" si="7"/>
        <v>48.286904102945527</v>
      </c>
      <c r="F4" s="106">
        <f>B4/AH9/12</f>
        <v>6.3057039841915525</v>
      </c>
      <c r="G4" s="107">
        <f>C4/AH9/12</f>
        <v>4.252367410552945</v>
      </c>
      <c r="H4" s="108"/>
      <c r="I4" s="109">
        <f>('Тариф для ОСС_жилье'!E13*'Достаточность по ОСС'!AH6)*12</f>
        <v>4374468.0359999994</v>
      </c>
      <c r="J4" s="105">
        <f>3384926.64228486/AH9*AH6</f>
        <v>2938680.1445168979</v>
      </c>
      <c r="K4" s="110">
        <f t="shared" si="8"/>
        <v>32.821999833286739</v>
      </c>
      <c r="L4" s="111">
        <f t="shared" si="9"/>
        <v>6.3299999999999992</v>
      </c>
      <c r="M4" s="106">
        <f t="shared" si="10"/>
        <v>4.2523674105529485</v>
      </c>
      <c r="N4" s="106">
        <f t="shared" si="11"/>
        <v>2.0776325894470506</v>
      </c>
      <c r="O4" s="107">
        <f t="shared" si="12"/>
        <v>48.85825679810884</v>
      </c>
      <c r="P4" s="108"/>
      <c r="Q4" s="109">
        <f>('Тариф для ОСС_нежилье'!E12*'Достаточность по ОСС'!AH7)*12</f>
        <v>215483.32800000004</v>
      </c>
      <c r="R4" s="105">
        <f>3384926.64228486/AH9*AH7</f>
        <v>144757.39044307926</v>
      </c>
      <c r="S4" s="110">
        <f t="shared" si="13"/>
        <v>32.82199983328676</v>
      </c>
      <c r="T4" s="111">
        <f t="shared" si="14"/>
        <v>6.330000000000001</v>
      </c>
      <c r="U4" s="106">
        <f t="shared" si="15"/>
        <v>4.2523674105529485</v>
      </c>
      <c r="V4" s="106">
        <f t="shared" si="16"/>
        <v>2.0776325894470524</v>
      </c>
      <c r="W4" s="107">
        <f t="shared" si="17"/>
        <v>48.858256798108869</v>
      </c>
      <c r="X4" s="108"/>
      <c r="Y4" s="109">
        <f>('Тариф для ОСС_паркинг'!E13*'Достаточность по ОСС'!AH10)*12</f>
        <v>429451.55999999994</v>
      </c>
      <c r="Z4" s="105">
        <f>3384926.64228486/AH9*AH8</f>
        <v>301489.10732488282</v>
      </c>
      <c r="AA4" s="110">
        <f t="shared" si="18"/>
        <v>29.79671390065905</v>
      </c>
      <c r="AB4" s="111">
        <f t="shared" si="19"/>
        <v>202.18999999999997</v>
      </c>
      <c r="AC4" s="106">
        <f t="shared" si="20"/>
        <v>141.94402416425746</v>
      </c>
      <c r="AD4" s="106">
        <f t="shared" si="21"/>
        <v>60.245975835742513</v>
      </c>
      <c r="AE4" s="107">
        <f t="shared" si="22"/>
        <v>42.443474595327757</v>
      </c>
      <c r="AF4" s="108"/>
      <c r="AG4" s="112"/>
      <c r="AH4" s="112"/>
      <c r="AI4" s="112"/>
    </row>
    <row r="5" s="103" customFormat="1" ht="24" customHeight="1">
      <c r="A5" s="104" t="s">
        <v>77</v>
      </c>
      <c r="B5" s="105">
        <f>('Тариф для ОСС_жилье'!E14*'Достаточность по ОСС'!AH6+'Тариф для ОСС_паркинг'!E14*'Достаточность по ОСС'!AH10)*12</f>
        <v>3997620</v>
      </c>
      <c r="C5" s="105">
        <f>(Разъяснения!E24+Разъяснения!F24)*12</f>
        <v>3634200</v>
      </c>
      <c r="D5" s="105">
        <f t="shared" si="6"/>
        <v>363420</v>
      </c>
      <c r="E5" s="106">
        <f t="shared" si="7"/>
        <v>10.000000000000014</v>
      </c>
      <c r="F5" s="106">
        <f>B5/(AH6+AH8)/12</f>
        <v>5.2464385920926473</v>
      </c>
      <c r="G5" s="107">
        <f>C5/(AH6+AH8)/12</f>
        <v>4.7694896291751343</v>
      </c>
      <c r="H5" s="108"/>
      <c r="I5" s="109">
        <f>('Тариф для ОСС_жилье'!E14*'Достаточность по ОСС'!AH6)*12</f>
        <v>3799787.6196162575</v>
      </c>
      <c r="J5" s="105">
        <f>(Разъяснения!E24+Разъяснения!F24)*12/(AH6+AH8)*AH6</f>
        <v>3296047.3824423566</v>
      </c>
      <c r="K5" s="110">
        <f t="shared" si="8"/>
        <v>13.257062962502467</v>
      </c>
      <c r="L5" s="111">
        <f t="shared" si="9"/>
        <v>5.4984184212178135</v>
      </c>
      <c r="M5" s="106">
        <f t="shared" si="10"/>
        <v>4.7694896291751343</v>
      </c>
      <c r="N5" s="106">
        <f t="shared" si="11"/>
        <v>0.72892879204267924</v>
      </c>
      <c r="O5" s="107">
        <f t="shared" si="12"/>
        <v>15.283161275449601</v>
      </c>
      <c r="P5" s="108"/>
      <c r="Q5" s="109">
        <v>0</v>
      </c>
      <c r="R5" s="105">
        <v>0</v>
      </c>
      <c r="S5" s="110">
        <v>0</v>
      </c>
      <c r="T5" s="111">
        <f t="shared" si="14"/>
        <v>0</v>
      </c>
      <c r="U5" s="106">
        <f t="shared" si="15"/>
        <v>0</v>
      </c>
      <c r="V5" s="106">
        <f t="shared" si="16"/>
        <v>0</v>
      </c>
      <c r="W5" s="107">
        <v>0</v>
      </c>
      <c r="X5" s="108"/>
      <c r="Y5" s="109">
        <f>('Тариф для ОСС_паркинг'!E14*'Достаточность по ОСС'!AH10)*12</f>
        <v>197832.38038374274</v>
      </c>
      <c r="Z5" s="105">
        <f>(Разъяснения!E24+Разъяснения!F24)*12/(AH6+AH8)*AH8</f>
        <v>338152.61755764333</v>
      </c>
      <c r="AA5" s="110">
        <f t="shared" si="18"/>
        <v>-70.928852446559191</v>
      </c>
      <c r="AB5" s="111">
        <f t="shared" si="19"/>
        <v>93.141422026244229</v>
      </c>
      <c r="AC5" s="106">
        <f t="shared" si="20"/>
        <v>159.20556382186598</v>
      </c>
      <c r="AD5" s="106">
        <f t="shared" si="21"/>
        <v>-66.064141795621751</v>
      </c>
      <c r="AE5" s="107">
        <f t="shared" si="22"/>
        <v>-41.496126272031844</v>
      </c>
      <c r="AF5" s="108"/>
      <c r="AG5" s="113" t="s">
        <v>78</v>
      </c>
      <c r="AH5" s="113"/>
      <c r="AI5" s="112"/>
    </row>
    <row r="6" s="103" customFormat="1" ht="24" customHeight="1">
      <c r="A6" s="104" t="s">
        <v>79</v>
      </c>
      <c r="B6" s="105">
        <f>('Тариф для ОСС_жилье'!E15*'Достаточность по ОСС'!AH6+'Тариф для ОСС_нежилье'!E13*'Достаточность по ОСС'!AH7)*12</f>
        <v>2628743.1000000001</v>
      </c>
      <c r="C6" s="105">
        <f>(Разъяснения!E26+Разъяснения!F26)*12</f>
        <v>2261280.0000000005</v>
      </c>
      <c r="D6" s="105">
        <f t="shared" si="6"/>
        <v>367463.09999999963</v>
      </c>
      <c r="E6" s="106">
        <f t="shared" si="7"/>
        <v>16.25022553597961</v>
      </c>
      <c r="F6" s="106">
        <f>B6/(AH6+AH7)/12</f>
        <v>3.6252985061041705</v>
      </c>
      <c r="G6" s="107">
        <f>C6/(AH6+AH7)/12</f>
        <v>3.1185302990936012</v>
      </c>
      <c r="H6" s="108"/>
      <c r="I6" s="109">
        <f>('Тариф для ОСС_жилье'!E15*'Достаточность по ОСС'!AH6)*12</f>
        <v>2370367.3560000001</v>
      </c>
      <c r="J6" s="105">
        <f>(Разъяснения!E26+Разъяснения!F26)*12/(AH6+AH7)*AH6</f>
        <v>2155120.2389703756</v>
      </c>
      <c r="K6" s="110">
        <f t="shared" si="8"/>
        <v>9.0807492975626563</v>
      </c>
      <c r="L6" s="111">
        <f t="shared" si="9"/>
        <v>3.4300000000000002</v>
      </c>
      <c r="M6" s="106">
        <f t="shared" si="10"/>
        <v>3.1185302990936012</v>
      </c>
      <c r="N6" s="106">
        <f t="shared" si="11"/>
        <v>0.31146970090639892</v>
      </c>
      <c r="O6" s="107">
        <f t="shared" si="12"/>
        <v>9.9877080237741325</v>
      </c>
      <c r="P6" s="108"/>
      <c r="Q6" s="109">
        <f>('Тариф для ОСС_нежилье'!E13*'Достаточность по ОСС'!AH7)*12</f>
        <v>258375.74400000001</v>
      </c>
      <c r="R6" s="105">
        <f>(Разъяснения!E26+Разъяснения!F26)*12/(AH6+AH7)*AH7</f>
        <v>106159.76102962474</v>
      </c>
      <c r="S6" s="110">
        <f t="shared" si="13"/>
        <v>58.912644280716719</v>
      </c>
      <c r="T6" s="111">
        <f t="shared" si="14"/>
        <v>7.5899999999999999</v>
      </c>
      <c r="U6" s="106">
        <f t="shared" si="15"/>
        <v>3.1185302990936012</v>
      </c>
      <c r="V6" s="106">
        <f t="shared" si="16"/>
        <v>4.4714697009063986</v>
      </c>
      <c r="W6" s="107">
        <f t="shared" si="17"/>
        <v>143.38387868817657</v>
      </c>
      <c r="X6" s="108"/>
      <c r="Y6" s="109">
        <v>0</v>
      </c>
      <c r="Z6" s="105">
        <v>0</v>
      </c>
      <c r="AA6" s="110">
        <v>0</v>
      </c>
      <c r="AB6" s="111">
        <f t="shared" si="19"/>
        <v>0</v>
      </c>
      <c r="AC6" s="106">
        <f t="shared" si="20"/>
        <v>0</v>
      </c>
      <c r="AD6" s="106">
        <f t="shared" si="21"/>
        <v>0</v>
      </c>
      <c r="AE6" s="107">
        <v>0</v>
      </c>
      <c r="AF6" s="108"/>
      <c r="AG6" s="113" t="s">
        <v>80</v>
      </c>
      <c r="AH6" s="113">
        <v>57589.099999999999</v>
      </c>
      <c r="AI6" s="112"/>
    </row>
    <row r="7" s="103" customFormat="1" ht="24" customHeight="1">
      <c r="A7" s="104" t="s">
        <v>81</v>
      </c>
      <c r="B7" s="105">
        <f>(('Тариф для ОСС_жилье'!E21+'Тариф для ОСС_жилье'!E22+'Тариф для ОСС_жилье'!E23)*'Достаточность по ОСС'!AH6+('Тариф для ОСС_нежилье'!E17+'Тариф для ОСС_нежилье'!E18+'Тариф для ОСС_нежилье'!E19)*'Достаточность по ОСС'!AH7+('Тариф для ОСС_паркинг'!E20+'Тариф для ОСС_паркинг'!E21+'Тариф для ОСС_паркинг'!E22)*AH10)*12</f>
        <v>1597453.9879461117</v>
      </c>
      <c r="C7" s="105">
        <f>('Слаб., тепл.системы'!E25+'Слаб., тепл.системы'!E26)*12</f>
        <v>1455183.3243903266</v>
      </c>
      <c r="D7" s="105">
        <f t="shared" si="6"/>
        <v>142270.66355578508</v>
      </c>
      <c r="E7" s="106">
        <f t="shared" si="7"/>
        <v>9.7768206363546568</v>
      </c>
      <c r="F7" s="106">
        <f>B7/AH9/12</f>
        <v>2.0068267339508927</v>
      </c>
      <c r="G7" s="107">
        <f>C7/AH9/12</f>
        <v>1.8280969719451818</v>
      </c>
      <c r="H7" s="108"/>
      <c r="I7" s="109">
        <f>(('Тариф для ОСС_жилье'!E21+'Тариф для ОСС_жилье'!E22+'Тариф для ОСС_жилье'!E23)*'Достаточность по ОСС'!AH6*12)</f>
        <v>1064246.568</v>
      </c>
      <c r="J7" s="105">
        <f>('Слаб., тепл.системы'!E25+'Слаб., тепл.системы'!E26)*12/AH9*AH6</f>
        <v>1263341.5119245793</v>
      </c>
      <c r="K7" s="110">
        <f t="shared" si="8"/>
        <v>-18.707595580855969</v>
      </c>
      <c r="L7" s="111">
        <f t="shared" si="9"/>
        <v>1.54</v>
      </c>
      <c r="M7" s="106">
        <f t="shared" si="10"/>
        <v>1.8280969719451818</v>
      </c>
      <c r="N7" s="106">
        <f t="shared" si="11"/>
        <v>-0.2880969719451818</v>
      </c>
      <c r="O7" s="107">
        <f t="shared" si="12"/>
        <v>-15.759392218599487</v>
      </c>
      <c r="P7" s="108"/>
      <c r="Q7" s="109">
        <f>('Тариф для ОСС_нежилье'!E17+'Тариф для ОСС_нежилье'!E18+'Тариф для ОСС_нежилье'!E19)*'Достаточность по ОСС'!AH7*12</f>
        <v>464942.05994611164</v>
      </c>
      <c r="R7" s="105">
        <f>('Слаб., тепл.системы'!E25+'Слаб., тепл.системы'!E26)*12/AH9*AH7</f>
        <v>62231.345880169109</v>
      </c>
      <c r="S7" s="110">
        <f t="shared" si="13"/>
        <v>86.615247093932098</v>
      </c>
      <c r="T7" s="111">
        <f t="shared" si="14"/>
        <v>13.658055436469249</v>
      </c>
      <c r="U7" s="106">
        <f t="shared" si="15"/>
        <v>1.8280969719451818</v>
      </c>
      <c r="V7" s="106">
        <f t="shared" si="16"/>
        <v>11.829958464524067</v>
      </c>
      <c r="W7" s="107">
        <f t="shared" si="17"/>
        <v>647.11876044170845</v>
      </c>
      <c r="X7" s="108"/>
      <c r="Y7" s="109">
        <f>('Тариф для ОСС_паркинг'!E20+'Тариф для ОСС_паркинг'!E21+'Тариф для ОСС_паркинг'!E22)*'Достаточность по ОСС'!AH10*12</f>
        <v>68265.360000000001</v>
      </c>
      <c r="Z7" s="105">
        <f>('Слаб., тепл.системы'!E25+'Слаб., тепл.системы'!E26)*12/AH9*AH8</f>
        <v>129610.46658557809</v>
      </c>
      <c r="AA7" s="110">
        <f t="shared" si="18"/>
        <v>-89.862716003516411</v>
      </c>
      <c r="AB7" s="111">
        <f t="shared" si="19"/>
        <v>32.140000000000001</v>
      </c>
      <c r="AC7" s="106">
        <f t="shared" si="20"/>
        <v>61.021876923530179</v>
      </c>
      <c r="AD7" s="106">
        <f t="shared" si="21"/>
        <v>-28.881876923530179</v>
      </c>
      <c r="AE7" s="107">
        <f t="shared" si="22"/>
        <v>-47.330364747258798</v>
      </c>
      <c r="AF7" s="108"/>
      <c r="AG7" s="113" t="s">
        <v>82</v>
      </c>
      <c r="AH7" s="113">
        <v>2836.8000000000002</v>
      </c>
      <c r="AI7" s="112"/>
    </row>
    <row r="8" s="103" customFormat="1" ht="24" customHeight="1">
      <c r="A8" s="104" t="s">
        <v>83</v>
      </c>
      <c r="B8" s="105">
        <f>(('Тариф для ОСС_жилье'!E16+'Тариф для ОСС_жилье'!E17+'Тариф для ОСС_жилье'!E18)*'Достаточность по ОСС'!AH6+('Тариф для ОСС_нежилье'!E14+'Тариф для ОСС_нежилье'!E15)*'Достаточность по ОСС'!AH7+('Тариф для ОСС_паркинг'!E15+'Тариф для ОСС_паркинг'!E16+'Тариф для ОСС_паркинг'!E17+'Тариф для ОСС_паркинг'!E18+'Тариф для ОСС_паркинг'!E19)*'Достаточность по ОСС'!AH10)*12</f>
        <v>3486832.757411656</v>
      </c>
      <c r="C8" s="105">
        <f>('Слаб., тепл.системы'!E52+'Слаб., тепл.системы'!E53)*12</f>
        <v>3169847.9612833243</v>
      </c>
      <c r="D8" s="105">
        <f t="shared" si="6"/>
        <v>316984.79612833168</v>
      </c>
      <c r="E8" s="106">
        <f t="shared" si="7"/>
        <v>9.9999999999999858</v>
      </c>
      <c r="F8" s="106">
        <f>B8/AH9/12</f>
        <v>4.3803885728103182</v>
      </c>
      <c r="G8" s="107">
        <f>C8/AH9/12</f>
        <v>3.982171429827563</v>
      </c>
      <c r="H8" s="108"/>
      <c r="I8" s="109">
        <f>('Тариф для ОСС_жилье'!E16+'Тариф для ОСС_жилье'!E17+'Тариф для ОСС_жилье'!E18)*'Достаточность по ОСС'!AH6*12</f>
        <v>2410680.9975019135</v>
      </c>
      <c r="J8" s="105">
        <f>('Слаб., тепл.системы'!E52+'Слаб., тепл.системы'!E53)*12/AH9*AH6</f>
        <v>2751956.02427379</v>
      </c>
      <c r="K8" s="110">
        <f t="shared" si="8"/>
        <v>-14.156789186355445</v>
      </c>
      <c r="L8" s="111">
        <f t="shared" si="9"/>
        <v>3.4883351732386765</v>
      </c>
      <c r="M8" s="106">
        <f t="shared" si="10"/>
        <v>3.982171429827563</v>
      </c>
      <c r="N8" s="106">
        <f t="shared" si="11"/>
        <v>-0.49383625658888652</v>
      </c>
      <c r="O8" s="107">
        <f t="shared" si="12"/>
        <v>-12.401180242766969</v>
      </c>
      <c r="P8" s="108"/>
      <c r="Q8" s="109">
        <f>('Тариф для ОСС_нежилье'!E14+'Тариф для ОСС_нежилье'!E15)*'Достаточность по ОСС'!AH7*12</f>
        <v>72924.396571500489</v>
      </c>
      <c r="R8" s="105">
        <f>('Слаб., тепл.системы'!E52+'Слаб., тепл.системы'!E53)*12/AH9*AH7</f>
        <v>135559.48694561797</v>
      </c>
      <c r="S8" s="110">
        <f t="shared" si="13"/>
        <v>-85.890447256159874</v>
      </c>
      <c r="T8" s="111">
        <f t="shared" si="14"/>
        <v>2.1422141312835028</v>
      </c>
      <c r="U8" s="106">
        <f t="shared" si="15"/>
        <v>3.982171429827563</v>
      </c>
      <c r="V8" s="106">
        <f t="shared" si="16"/>
        <v>-1.8399572985440602</v>
      </c>
      <c r="W8" s="107">
        <f t="shared" si="17"/>
        <v>-46.204874173981366</v>
      </c>
      <c r="X8" s="108"/>
      <c r="Y8" s="109">
        <f>('Тариф для ОСС_паркинг'!E15+'Тариф для ОСС_паркинг'!E16+'Тариф для ОСС_паркинг'!E17+'Тариф для ОСС_паркинг'!E18+'Тариф для ОСС_паркинг'!E19)*'Достаточность по ОСС'!AH10*12</f>
        <v>1003227.3633382421</v>
      </c>
      <c r="Z8" s="105">
        <f>('Слаб., тепл.системы'!E52+'Слаб., тепл.системы'!E53)*12/AH9*AH8</f>
        <v>282332.45006391598</v>
      </c>
      <c r="AA8" s="110">
        <f t="shared" si="18"/>
        <v>71.857580805565973</v>
      </c>
      <c r="AB8" s="111">
        <f t="shared" si="19"/>
        <v>472.32926710840024</v>
      </c>
      <c r="AC8" s="106">
        <f t="shared" si="20"/>
        <v>132.92488232764404</v>
      </c>
      <c r="AD8" s="106">
        <f t="shared" si="21"/>
        <v>339.40438478075623</v>
      </c>
      <c r="AE8" s="107">
        <f t="shared" si="22"/>
        <v>255.3354788339513</v>
      </c>
      <c r="AF8" s="108"/>
      <c r="AG8" s="113" t="s">
        <v>84</v>
      </c>
      <c r="AH8" s="113">
        <v>5908.2600000000002</v>
      </c>
      <c r="AI8" s="112"/>
    </row>
    <row r="9" s="103" customFormat="1" ht="24" customHeight="1">
      <c r="A9" s="104" t="s">
        <v>85</v>
      </c>
      <c r="B9" s="105">
        <f>('Тариф для ОСС_жилье'!E19*'Достаточность по ОСС'!AH6+'Тариф для ОСС_нежилье'!E16*'Достаточность по ОСС'!AH7)*12</f>
        <v>123268.83600000001</v>
      </c>
      <c r="C9" s="105">
        <v>100029.11412167396</v>
      </c>
      <c r="D9" s="105">
        <f t="shared" si="6"/>
        <v>23239.721878326047</v>
      </c>
      <c r="E9" s="106">
        <f t="shared" si="7"/>
        <v>23.232957806721743</v>
      </c>
      <c r="F9" s="106">
        <f>B9/(AH6+AH7)/12</f>
        <v>0.17000000000000001</v>
      </c>
      <c r="G9" s="107">
        <f>C9/(AH6+AH7)/12</f>
        <v>0.1379501093097413</v>
      </c>
      <c r="H9" s="108"/>
      <c r="I9" s="109">
        <f>('Тариф для ОСС_жилье'!E19*'Достаточность по ОСС'!AH6)*12</f>
        <v>117481.76400000001</v>
      </c>
      <c r="J9" s="105">
        <f>100029.114121674/(AH6+AH7)*AH6</f>
        <v>95333.071680595516</v>
      </c>
      <c r="K9" s="110">
        <f t="shared" si="8"/>
        <v>18.852876876622734</v>
      </c>
      <c r="L9" s="111">
        <f t="shared" si="9"/>
        <v>0.17000000000000001</v>
      </c>
      <c r="M9" s="106">
        <f t="shared" si="10"/>
        <v>0.13795010930974136</v>
      </c>
      <c r="N9" s="106">
        <f t="shared" si="11"/>
        <v>0.032049890690258653</v>
      </c>
      <c r="O9" s="107">
        <f t="shared" si="12"/>
        <v>23.232957806721672</v>
      </c>
      <c r="P9" s="108"/>
      <c r="Q9" s="109">
        <f>('Тариф для ОСС_нежилье'!E16*'Достаточность по ОСС'!AH7)*12</f>
        <v>5787.072000000001</v>
      </c>
      <c r="R9" s="105">
        <f>100029.114121674/(AH6+AH7)*AH7</f>
        <v>4696.0424410784917</v>
      </c>
      <c r="S9" s="110">
        <f t="shared" si="13"/>
        <v>18.852876876622741</v>
      </c>
      <c r="T9" s="111">
        <f t="shared" si="14"/>
        <v>0.17000000000000001</v>
      </c>
      <c r="U9" s="106">
        <f t="shared" si="15"/>
        <v>0.13795010930974136</v>
      </c>
      <c r="V9" s="106">
        <f t="shared" si="16"/>
        <v>0.032049890690258653</v>
      </c>
      <c r="W9" s="107">
        <f t="shared" si="17"/>
        <v>23.232957806721672</v>
      </c>
      <c r="X9" s="108"/>
      <c r="Y9" s="109">
        <v>0</v>
      </c>
      <c r="Z9" s="105">
        <v>0</v>
      </c>
      <c r="AA9" s="110">
        <v>0</v>
      </c>
      <c r="AB9" s="111">
        <f t="shared" si="19"/>
        <v>0</v>
      </c>
      <c r="AC9" s="106">
        <f t="shared" si="20"/>
        <v>0</v>
      </c>
      <c r="AD9" s="106">
        <f t="shared" si="21"/>
        <v>0</v>
      </c>
      <c r="AE9" s="107">
        <v>0</v>
      </c>
      <c r="AF9" s="108"/>
      <c r="AG9" s="113"/>
      <c r="AH9" s="113">
        <v>66334.160000000003</v>
      </c>
      <c r="AI9" s="112"/>
    </row>
    <row r="10" s="103" customFormat="1" ht="24" customHeight="1">
      <c r="A10" s="104" t="s">
        <v>86</v>
      </c>
      <c r="B10" s="105">
        <f>'Тариф для ОСС_жилье'!E20*'Достаточность по ОСС'!AH6*12</f>
        <v>2770109.0927999993</v>
      </c>
      <c r="C10" s="105">
        <f>((Лифты_расходы!L4+Лифты_расходы!M4+Лифты_расходы!N4)*95%*1%+(Лифты_расходы!L4+Лифты_расходы!M4+Лифты_расходы!N4))*12</f>
        <v>1325408.8919999998</v>
      </c>
      <c r="D10" s="105">
        <f t="shared" si="6"/>
        <v>1444700.2007999995</v>
      </c>
      <c r="E10" s="106">
        <f t="shared" si="7"/>
        <v>109.00034016068756</v>
      </c>
      <c r="F10" s="106">
        <f>B10/AH6/12</f>
        <v>4.008439520673182</v>
      </c>
      <c r="G10" s="107">
        <f>C10/AH6/12</f>
        <v>1.9179105247347152</v>
      </c>
      <c r="H10" s="108"/>
      <c r="I10" s="109">
        <f>'Тариф для ОСС_жилье'!E20*'Достаточность по ОСС'!AH6*12</f>
        <v>2770109.0927999993</v>
      </c>
      <c r="J10" s="105">
        <f>((Лифты_расходы!L4+Лифты_расходы!M4+Лифты_расходы!N4)*95%*1%+(Лифты_расходы!L4+Лифты_расходы!M4+Лифты_расходы!N4))*12</f>
        <v>1325408.8919999998</v>
      </c>
      <c r="K10" s="110">
        <f t="shared" si="8"/>
        <v>52.1531879215526</v>
      </c>
      <c r="L10" s="111">
        <f t="shared" si="9"/>
        <v>4.008439520673182</v>
      </c>
      <c r="M10" s="106">
        <f t="shared" si="10"/>
        <v>1.9179105247347152</v>
      </c>
      <c r="N10" s="106">
        <f t="shared" si="11"/>
        <v>2.0905289959384667</v>
      </c>
      <c r="O10" s="107">
        <f t="shared" si="12"/>
        <v>109.00034016068753</v>
      </c>
      <c r="P10" s="108"/>
      <c r="Q10" s="109">
        <v>0</v>
      </c>
      <c r="R10" s="105">
        <v>0</v>
      </c>
      <c r="S10" s="110">
        <v>0</v>
      </c>
      <c r="T10" s="111">
        <f t="shared" si="14"/>
        <v>0</v>
      </c>
      <c r="U10" s="106">
        <f t="shared" si="15"/>
        <v>0</v>
      </c>
      <c r="V10" s="106">
        <f t="shared" si="16"/>
        <v>0</v>
      </c>
      <c r="W10" s="107">
        <v>0</v>
      </c>
      <c r="X10" s="108"/>
      <c r="Y10" s="109">
        <v>0</v>
      </c>
      <c r="Z10" s="105">
        <v>0</v>
      </c>
      <c r="AA10" s="110">
        <v>0</v>
      </c>
      <c r="AB10" s="111">
        <f t="shared" si="19"/>
        <v>0</v>
      </c>
      <c r="AC10" s="106">
        <f t="shared" si="20"/>
        <v>0</v>
      </c>
      <c r="AD10" s="106">
        <f t="shared" si="21"/>
        <v>0</v>
      </c>
      <c r="AE10" s="107">
        <v>0</v>
      </c>
      <c r="AF10" s="108"/>
      <c r="AG10" s="112" t="s">
        <v>87</v>
      </c>
      <c r="AH10" s="113">
        <v>177</v>
      </c>
      <c r="AI10" s="112"/>
    </row>
    <row r="11" s="103" customFormat="1" ht="24" customHeight="1">
      <c r="A11" s="104" t="s">
        <v>88</v>
      </c>
      <c r="B11" s="105">
        <f>('Тариф для ОСС_жилье'!E24*'Достаточность по ОСС'!AH6+'Тариф для ОСС_нежилье'!E20*'Достаточность по ОСС'!AH7+'Тариф для ОСС_паркинг'!E23*'Достаточность по ОСС'!AH10)*12</f>
        <v>5621639.2271999996</v>
      </c>
      <c r="C11" s="105">
        <v>5327621.5546677969</v>
      </c>
      <c r="D11" s="105">
        <f t="shared" si="6"/>
        <v>294017.67253220268</v>
      </c>
      <c r="E11" s="106">
        <f t="shared" si="7"/>
        <v>5.518741703314106</v>
      </c>
      <c r="F11" s="106">
        <f>B11/AH9/12</f>
        <v>7.0622728259466916</v>
      </c>
      <c r="G11" s="107">
        <f>C11/AH9/12</f>
        <v>6.6929084937381136</v>
      </c>
      <c r="H11" s="108"/>
      <c r="I11" s="109">
        <f>('Тариф для ОСС_жилье'!E24*'Достаточность по ОСС'!AH6)*12</f>
        <v>4892769.9359999998</v>
      </c>
      <c r="J11" s="105">
        <f>5327621.5546678/AH9*AH6</f>
        <v>4625262.9184408057</v>
      </c>
      <c r="K11" s="110">
        <f t="shared" si="8"/>
        <v>5.4673941562412756</v>
      </c>
      <c r="L11" s="111">
        <f t="shared" si="9"/>
        <v>7.0799999999999992</v>
      </c>
      <c r="M11" s="106">
        <f t="shared" si="10"/>
        <v>6.6929084937381171</v>
      </c>
      <c r="N11" s="106">
        <f t="shared" si="11"/>
        <v>0.38709150626188205</v>
      </c>
      <c r="O11" s="107">
        <f t="shared" si="12"/>
        <v>5.7836067327686322</v>
      </c>
      <c r="P11" s="108"/>
      <c r="Q11" s="109">
        <f>('Тариф для ОСС_нежилье'!E20*'Достаточность по ОСС'!AH7)*12</f>
        <v>241014.52800000002</v>
      </c>
      <c r="R11" s="105">
        <f>5327621.5546678/AH9*AH7</f>
        <v>227837.31378043551</v>
      </c>
      <c r="S11" s="110">
        <f t="shared" si="13"/>
        <v>5.4673941562412836</v>
      </c>
      <c r="T11" s="111">
        <f t="shared" si="14"/>
        <v>7.080000000000001</v>
      </c>
      <c r="U11" s="106">
        <f t="shared" si="15"/>
        <v>6.6929084937381171</v>
      </c>
      <c r="V11" s="106">
        <f t="shared" si="16"/>
        <v>0.38709150626188382</v>
      </c>
      <c r="W11" s="107">
        <f t="shared" si="17"/>
        <v>5.7836067327686749</v>
      </c>
      <c r="X11" s="108"/>
      <c r="Y11" s="109">
        <f>('Тариф для ОСС_паркинг'!E23*'Достаточность по ОСС'!AH10)*12</f>
        <v>487854.76320000004</v>
      </c>
      <c r="Z11" s="105">
        <f>5327621.5546678/AH9*AH8</f>
        <v>474521.32244655804</v>
      </c>
      <c r="AA11" s="110">
        <f t="shared" si="18"/>
        <v>2.7330758576555803</v>
      </c>
      <c r="AB11" s="111">
        <f t="shared" si="19"/>
        <v>229.68680000000003</v>
      </c>
      <c r="AC11" s="106">
        <f t="shared" si="20"/>
        <v>223.40928552097839</v>
      </c>
      <c r="AD11" s="106">
        <f t="shared" si="21"/>
        <v>6.2775144790216473</v>
      </c>
      <c r="AE11" s="107">
        <f t="shared" si="22"/>
        <v>2.8098717850436827</v>
      </c>
      <c r="AF11" s="108"/>
      <c r="AG11" s="112"/>
      <c r="AH11" s="112"/>
      <c r="AI11" s="112"/>
    </row>
    <row r="12" s="103" customFormat="1" ht="24" customHeight="1">
      <c r="A12" s="104" t="s">
        <v>89</v>
      </c>
      <c r="B12" s="105">
        <f>'Тариф для ОСС_жилье'!E25*'Достаточность по ОСС'!AH6*12</f>
        <v>400820.136</v>
      </c>
      <c r="C12" s="105">
        <v>339557.99783275893</v>
      </c>
      <c r="D12" s="105">
        <f t="shared" si="6"/>
        <v>61262.138167241064</v>
      </c>
      <c r="E12" s="106">
        <f t="shared" si="7"/>
        <v>18.041730295928488</v>
      </c>
      <c r="F12" s="106">
        <f>B12/AH6/12</f>
        <v>0.57999999999999996</v>
      </c>
      <c r="G12" s="107">
        <f>C12/AH6/12</f>
        <v>0.49135165889719717</v>
      </c>
      <c r="H12" s="108"/>
      <c r="I12" s="109">
        <f>'Тариф для ОСС_жилье'!E25*'Достаточность по ОСС'!AH6*12</f>
        <v>400820.136</v>
      </c>
      <c r="J12" s="105">
        <v>339557.99783275893</v>
      </c>
      <c r="K12" s="110">
        <f t="shared" si="8"/>
        <v>15.284196741862555</v>
      </c>
      <c r="L12" s="111">
        <f t="shared" si="9"/>
        <v>0.57999999999999996</v>
      </c>
      <c r="M12" s="106">
        <f t="shared" si="10"/>
        <v>0.49135165889719717</v>
      </c>
      <c r="N12" s="106">
        <f t="shared" si="11"/>
        <v>0.088648341102802786</v>
      </c>
      <c r="O12" s="107">
        <f t="shared" si="12"/>
        <v>18.041730295928488</v>
      </c>
      <c r="P12" s="108"/>
      <c r="Q12" s="109">
        <v>0</v>
      </c>
      <c r="R12" s="105">
        <v>0</v>
      </c>
      <c r="S12" s="110">
        <v>0</v>
      </c>
      <c r="T12" s="111">
        <f t="shared" si="14"/>
        <v>0</v>
      </c>
      <c r="U12" s="106">
        <f t="shared" si="15"/>
        <v>0</v>
      </c>
      <c r="V12" s="106">
        <f t="shared" si="16"/>
        <v>0</v>
      </c>
      <c r="W12" s="107">
        <v>0</v>
      </c>
      <c r="X12" s="108"/>
      <c r="Y12" s="109">
        <v>0</v>
      </c>
      <c r="Z12" s="105">
        <v>0</v>
      </c>
      <c r="AA12" s="110">
        <v>0</v>
      </c>
      <c r="AB12" s="111">
        <f t="shared" si="19"/>
        <v>0</v>
      </c>
      <c r="AC12" s="106">
        <f t="shared" si="20"/>
        <v>0</v>
      </c>
      <c r="AD12" s="106">
        <f t="shared" si="21"/>
        <v>0</v>
      </c>
      <c r="AE12" s="107">
        <v>0</v>
      </c>
      <c r="AF12" s="108"/>
      <c r="AG12" s="112"/>
      <c r="AH12" s="112"/>
      <c r="AI12" s="112"/>
    </row>
    <row r="13" s="103" customFormat="1" ht="24" customHeight="1">
      <c r="A13" s="104" t="s">
        <v>90</v>
      </c>
      <c r="B13" s="105">
        <f>('Тариф для ОСС_жилье'!E27*'Достаточность по ОСС'!AH6+'Тариф для ОСС_нежилье'!E21*'Достаточность по ОСС'!AH7)*12</f>
        <v>2813703.4130881494</v>
      </c>
      <c r="C13" s="105">
        <f>(Разъяснения!N18+Разъяснения!O18)*12</f>
        <v>2557912.1937165</v>
      </c>
      <c r="D13" s="105">
        <f t="shared" si="6"/>
        <v>255791.21937164944</v>
      </c>
      <c r="E13" s="106">
        <f t="shared" si="7"/>
        <v>9.9999999999999858</v>
      </c>
      <c r="F13" s="106">
        <f>B13/(AH6+AH7)/12</f>
        <v>3.8803771962686935</v>
      </c>
      <c r="G13" s="107">
        <f>C13/(AH6+AH7)/12</f>
        <v>3.5276156329715405</v>
      </c>
      <c r="H13" s="108"/>
      <c r="I13" s="109">
        <f>('Тариф для ОСС_жилье'!E27*'Достаточность по ОСС'!AH6)*12</f>
        <v>2681609.1647236496</v>
      </c>
      <c r="J13" s="105">
        <f>(Разъяснения!N18+Разъяснения!O18)*12/(AH6+AH7)*AH6</f>
        <v>2437826.5133851361</v>
      </c>
      <c r="K13" s="110">
        <f t="shared" si="8"/>
        <v>9.0909090909090864</v>
      </c>
      <c r="L13" s="111">
        <f t="shared" si="9"/>
        <v>3.8803771962686944</v>
      </c>
      <c r="M13" s="106">
        <f t="shared" si="10"/>
        <v>3.5276156329715409</v>
      </c>
      <c r="N13" s="106">
        <f t="shared" si="11"/>
        <v>0.35276156329715347</v>
      </c>
      <c r="O13" s="107">
        <f t="shared" si="12"/>
        <v>9.9999999999999858</v>
      </c>
      <c r="P13" s="108"/>
      <c r="Q13" s="109">
        <f>('Тариф для ОСС_нежилье'!E21*'Достаточность по ОСС'!AH7)*12</f>
        <v>132094.24836450038</v>
      </c>
      <c r="R13" s="105">
        <f>(Разъяснения!N18+Разъяснения!O18)*12/(AH6+AH7)*AH7</f>
        <v>120085.680331364</v>
      </c>
      <c r="S13" s="110">
        <f t="shared" si="13"/>
        <v>9.0909090909090793</v>
      </c>
      <c r="T13" s="111">
        <f t="shared" si="14"/>
        <v>3.8803771962686944</v>
      </c>
      <c r="U13" s="106">
        <f t="shared" si="15"/>
        <v>3.5276156329715405</v>
      </c>
      <c r="V13" s="106">
        <f t="shared" si="16"/>
        <v>0.35276156329715391</v>
      </c>
      <c r="W13" s="107">
        <f t="shared" si="17"/>
        <v>9.9999999999999858</v>
      </c>
      <c r="X13" s="108"/>
      <c r="Y13" s="109">
        <v>0</v>
      </c>
      <c r="Z13" s="105">
        <v>0</v>
      </c>
      <c r="AA13" s="110">
        <v>0</v>
      </c>
      <c r="AB13" s="111">
        <f t="shared" si="19"/>
        <v>0</v>
      </c>
      <c r="AC13" s="106">
        <f t="shared" si="20"/>
        <v>0</v>
      </c>
      <c r="AD13" s="106">
        <f t="shared" si="21"/>
        <v>0</v>
      </c>
      <c r="AE13" s="107">
        <v>0</v>
      </c>
      <c r="AF13" s="108"/>
      <c r="AG13" s="112"/>
      <c r="AH13" s="112"/>
      <c r="AI13" s="112"/>
    </row>
    <row r="14" s="103" customFormat="1" ht="24" customHeight="1">
      <c r="A14" s="104" t="s">
        <v>91</v>
      </c>
      <c r="B14" s="105">
        <f>'Тариф для ОСС_жилье'!E26*'Достаточность по ОСС'!AH6*12</f>
        <v>7789727.2328964006</v>
      </c>
      <c r="C14" s="105">
        <f>('Разъяснения'!N19+'Разъяснения'!O19)*12</f>
        <v>7081570.211724001</v>
      </c>
      <c r="D14" s="105">
        <f t="shared" si="6"/>
        <v>708157.02117239963</v>
      </c>
      <c r="E14" s="106">
        <f t="shared" si="7"/>
        <v>9.9999999999999858</v>
      </c>
      <c r="F14" s="106">
        <f>B14/AH6/12</f>
        <v>11.271993069429806</v>
      </c>
      <c r="G14" s="107">
        <f>C14/AH6/12</f>
        <v>10.24726642675437</v>
      </c>
      <c r="H14" s="108"/>
      <c r="I14" s="109">
        <f>'Тариф для ОСС_жилье'!E26*'Достаточность по ОСС'!AH6*12</f>
        <v>7789727.2328964006</v>
      </c>
      <c r="J14" s="105">
        <f>(Разъяснения!N19+Разъяснения!O19)*12</f>
        <v>7081570.211724001</v>
      </c>
      <c r="K14" s="110">
        <f t="shared" si="8"/>
        <v>9.0909090909090864</v>
      </c>
      <c r="L14" s="111">
        <f t="shared" si="9"/>
        <v>11.271993069429806</v>
      </c>
      <c r="M14" s="106">
        <f t="shared" si="10"/>
        <v>10.24726642675437</v>
      </c>
      <c r="N14" s="106">
        <f t="shared" si="11"/>
        <v>1.0247266426754358</v>
      </c>
      <c r="O14" s="107">
        <f t="shared" si="12"/>
        <v>9.9999999999999858</v>
      </c>
      <c r="P14" s="108"/>
      <c r="Q14" s="109">
        <v>0</v>
      </c>
      <c r="R14" s="105">
        <v>0</v>
      </c>
      <c r="S14" s="110">
        <v>0</v>
      </c>
      <c r="T14" s="111">
        <f t="shared" si="14"/>
        <v>0</v>
      </c>
      <c r="U14" s="106">
        <f t="shared" si="15"/>
        <v>0</v>
      </c>
      <c r="V14" s="106">
        <f t="shared" si="16"/>
        <v>0</v>
      </c>
      <c r="W14" s="107">
        <v>0</v>
      </c>
      <c r="X14" s="108"/>
      <c r="Y14" s="109">
        <v>0</v>
      </c>
      <c r="Z14" s="105">
        <v>0</v>
      </c>
      <c r="AA14" s="110">
        <v>0</v>
      </c>
      <c r="AB14" s="111">
        <f t="shared" si="19"/>
        <v>0</v>
      </c>
      <c r="AC14" s="106">
        <f t="shared" si="20"/>
        <v>0</v>
      </c>
      <c r="AD14" s="106">
        <f t="shared" si="21"/>
        <v>0</v>
      </c>
      <c r="AE14" s="107">
        <v>0</v>
      </c>
      <c r="AF14" s="108"/>
      <c r="AG14" s="112"/>
      <c r="AH14" s="112"/>
      <c r="AI14" s="112"/>
    </row>
    <row r="15" s="103" customFormat="1" ht="24" customHeight="1">
      <c r="A15" s="104" t="s">
        <v>92</v>
      </c>
      <c r="B15" s="105">
        <f>'Тариф для ОСС_паркинг'!E24*'Достаточность по ОСС'!AH10*12</f>
        <v>2638429.1999999997</v>
      </c>
      <c r="C15" s="105">
        <v>1931771.0438177651</v>
      </c>
      <c r="D15" s="105">
        <f t="shared" si="6"/>
        <v>706658.15618223464</v>
      </c>
      <c r="E15" s="106">
        <f t="shared" si="7"/>
        <v>36.580844217732135</v>
      </c>
      <c r="F15" s="106">
        <f>B15/AH8/12</f>
        <v>37.213849762874339</v>
      </c>
      <c r="G15" s="107">
        <f>C15/AH8/12</f>
        <v>27.24675629003244</v>
      </c>
      <c r="H15" s="108"/>
      <c r="I15" s="109">
        <v>0</v>
      </c>
      <c r="J15" s="105">
        <v>0</v>
      </c>
      <c r="K15" s="110">
        <v>0</v>
      </c>
      <c r="L15" s="111">
        <f t="shared" si="9"/>
        <v>0</v>
      </c>
      <c r="M15" s="106">
        <f t="shared" si="10"/>
        <v>0</v>
      </c>
      <c r="N15" s="106">
        <f t="shared" si="11"/>
        <v>0</v>
      </c>
      <c r="O15" s="107">
        <v>0</v>
      </c>
      <c r="P15" s="108"/>
      <c r="Q15" s="109">
        <v>0</v>
      </c>
      <c r="R15" s="105">
        <v>0</v>
      </c>
      <c r="S15" s="110">
        <v>0</v>
      </c>
      <c r="T15" s="111">
        <f t="shared" si="14"/>
        <v>0</v>
      </c>
      <c r="U15" s="106">
        <f t="shared" si="15"/>
        <v>0</v>
      </c>
      <c r="V15" s="106">
        <f t="shared" si="16"/>
        <v>0</v>
      </c>
      <c r="W15" s="107">
        <v>0</v>
      </c>
      <c r="X15" s="108"/>
      <c r="Y15" s="109">
        <f>'Тариф для ОСС_паркинг'!E24*'Достаточность по ОСС'!AH10*12</f>
        <v>2638429.1999999997</v>
      </c>
      <c r="Z15" s="105">
        <f>(Разъяснения!B32+Разъяснения!C32)*12</f>
        <v>2398572</v>
      </c>
      <c r="AA15" s="110">
        <f t="shared" si="18"/>
        <v>9.0909090909090811</v>
      </c>
      <c r="AB15" s="111">
        <f t="shared" si="19"/>
        <v>1242.1983050847457</v>
      </c>
      <c r="AC15" s="106">
        <f t="shared" si="20"/>
        <v>1129.2711864406781</v>
      </c>
      <c r="AD15" s="106">
        <f t="shared" si="21"/>
        <v>112.9271186440676</v>
      </c>
      <c r="AE15" s="107">
        <f t="shared" si="22"/>
        <v>9.9999999999999858</v>
      </c>
      <c r="AF15" s="108"/>
      <c r="AG15" s="112"/>
      <c r="AH15" s="112"/>
      <c r="AI15" s="112"/>
    </row>
    <row r="16" s="103" customFormat="1" ht="24" customHeight="1">
      <c r="A16" s="104" t="s">
        <v>93</v>
      </c>
      <c r="B16" s="105">
        <f>('Тариф для ОСС_жилье'!E28*'Достаточность по ОСС'!AH6+'Тариф для ОСС_нежилье'!E22*'Достаточность по ОСС'!AH7)*12</f>
        <v>0</v>
      </c>
      <c r="C16" s="105">
        <v>0</v>
      </c>
      <c r="D16" s="105">
        <f t="shared" si="6"/>
        <v>0</v>
      </c>
      <c r="E16" s="106">
        <v>0</v>
      </c>
      <c r="F16" s="106">
        <f>B16/(AH6+AH7)/12</f>
        <v>0</v>
      </c>
      <c r="G16" s="107">
        <f>C16/(AH6+AH7)/12</f>
        <v>0</v>
      </c>
      <c r="H16" s="108"/>
      <c r="I16" s="109">
        <f>('Тариф для ОСС_жилье'!E28*'Достаточность по ОСС'!AH6)*12</f>
        <v>0</v>
      </c>
      <c r="J16" s="105">
        <v>0</v>
      </c>
      <c r="K16" s="110">
        <v>0</v>
      </c>
      <c r="L16" s="111">
        <f t="shared" si="9"/>
        <v>0</v>
      </c>
      <c r="M16" s="106">
        <f t="shared" si="10"/>
        <v>0</v>
      </c>
      <c r="N16" s="106">
        <f t="shared" si="11"/>
        <v>0</v>
      </c>
      <c r="O16" s="107">
        <v>0</v>
      </c>
      <c r="P16" s="108"/>
      <c r="Q16" s="109">
        <f>('Тариф для ОСС_нежилье'!E22*'Достаточность по ОСС'!AH7)*12</f>
        <v>0</v>
      </c>
      <c r="R16" s="105">
        <v>0</v>
      </c>
      <c r="S16" s="110">
        <v>0</v>
      </c>
      <c r="T16" s="111">
        <f t="shared" si="14"/>
        <v>0</v>
      </c>
      <c r="U16" s="106">
        <f t="shared" si="15"/>
        <v>0</v>
      </c>
      <c r="V16" s="106">
        <f t="shared" si="16"/>
        <v>0</v>
      </c>
      <c r="W16" s="107">
        <v>0</v>
      </c>
      <c r="X16" s="108"/>
      <c r="Y16" s="109">
        <v>0</v>
      </c>
      <c r="Z16" s="105">
        <v>0</v>
      </c>
      <c r="AA16" s="110">
        <v>0</v>
      </c>
      <c r="AB16" s="111">
        <f t="shared" si="19"/>
        <v>0</v>
      </c>
      <c r="AC16" s="106">
        <f t="shared" si="20"/>
        <v>0</v>
      </c>
      <c r="AD16" s="106">
        <f t="shared" si="21"/>
        <v>0</v>
      </c>
      <c r="AE16" s="107">
        <v>0</v>
      </c>
      <c r="AF16" s="108"/>
      <c r="AG16" s="112"/>
      <c r="AH16" s="112"/>
      <c r="AI16" s="112"/>
    </row>
    <row r="17" s="103" customFormat="1" ht="24" customHeight="1">
      <c r="A17" s="114" t="s">
        <v>94</v>
      </c>
      <c r="B17" s="115">
        <f>SUM(B3:B16)</f>
        <v>45200680.354497522</v>
      </c>
      <c r="C17" s="115">
        <f>SUM(C3:C16)</f>
        <v>38308336.615071006</v>
      </c>
      <c r="D17" s="115">
        <f t="shared" si="6"/>
        <v>6892343.739426516</v>
      </c>
      <c r="E17" s="116">
        <f t="shared" si="7"/>
        <v>17.991759362151399</v>
      </c>
      <c r="F17" s="116">
        <f>SUM(F3:F16)</f>
        <v>93.682307073927177</v>
      </c>
      <c r="G17" s="117">
        <f>SUM(G3:G16)</f>
        <v>75.422158794836989</v>
      </c>
      <c r="H17" s="118"/>
      <c r="I17" s="119">
        <f>SUM(I3:I16)</f>
        <v>38152743.061168395</v>
      </c>
      <c r="J17" s="115">
        <f>SUM(J3:J16)</f>
        <v>33292536.86867328</v>
      </c>
      <c r="K17" s="120">
        <f t="shared" si="8"/>
        <v>12.738811950435617</v>
      </c>
      <c r="L17" s="121">
        <f>SUM(L3:L16)</f>
        <v>55.208281690413052</v>
      </c>
      <c r="M17" s="116">
        <f>SUM(M3:M16)</f>
        <v>48.175402504804552</v>
      </c>
      <c r="N17" s="116">
        <f t="shared" si="11"/>
        <v>7.0328791856085004</v>
      </c>
      <c r="O17" s="117">
        <f t="shared" si="12"/>
        <v>14.598485575511518</v>
      </c>
      <c r="P17" s="118"/>
      <c r="Q17" s="119">
        <f>SUM(Q3:Q16)</f>
        <v>1660595.7172896774</v>
      </c>
      <c r="R17" s="115">
        <f>SUM(R3:R16)</f>
        <v>1046758.2394037007</v>
      </c>
      <c r="S17" s="120">
        <f t="shared" si="13"/>
        <v>36.96489588012696</v>
      </c>
      <c r="T17" s="121">
        <f>SUM(T3:T16)</f>
        <v>48.781365073606338</v>
      </c>
      <c r="U17" s="116">
        <f>SUM(U3:U16)</f>
        <v>30.749384265243133</v>
      </c>
      <c r="V17" s="116">
        <f t="shared" si="16"/>
        <v>18.031980808363205</v>
      </c>
      <c r="W17" s="117">
        <f t="shared" si="17"/>
        <v>58.641762231139182</v>
      </c>
      <c r="X17" s="118"/>
      <c r="Y17" s="119">
        <f>SUM(Y3:Y16)</f>
        <v>5387341.5760394409</v>
      </c>
      <c r="Z17" s="115">
        <f>SUM(Z3:Z16)</f>
        <v>4435842.4631762654</v>
      </c>
      <c r="AA17" s="120">
        <f t="shared" si="18"/>
        <v>17.66175579241218</v>
      </c>
      <c r="AB17" s="121">
        <f>SUM(AB3:AB16)</f>
        <v>2536.4131713933339</v>
      </c>
      <c r="AC17" s="116">
        <f>SUM(AC3:AC16)</f>
        <v>2088.4380711752665</v>
      </c>
      <c r="AD17" s="116">
        <f t="shared" si="21"/>
        <v>447.97510021806738</v>
      </c>
      <c r="AE17" s="117">
        <f t="shared" si="22"/>
        <v>21.450245827302396</v>
      </c>
      <c r="AF17" s="118"/>
      <c r="AG17" s="112"/>
      <c r="AH17" s="112"/>
      <c r="AI17" s="112"/>
    </row>
  </sheetData>
  <mergeCells count="1">
    <mergeCell ref="A1:E1"/>
  </mergeCells>
  <printOptions headings="0" gridLines="0"/>
  <pageMargins left="0.69999999999999996" right="0.69999999999999996" top="0.75" bottom="0.75" header="0.29999999999999999" footer="0.29999999999999999"/>
  <pageSetup paperSize="9" scale="33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5">
    <outlinePr applyStyles="0" showOutlineSymbols="1" summaryBelow="1" summaryRight="1"/>
    <pageSetUpPr autoPageBreaks="1" fitToPage="1"/>
  </sheetPr>
  <sheetViews>
    <sheetView workbookViewId="0" zoomScale="100">
      <pane activePane="bottomRight" state="frozen" topLeftCell="B3" xSplit="1" ySplit="2"/>
      <selection activeCell="M12" activeCellId="0" sqref="M12"/>
    </sheetView>
  </sheetViews>
  <sheetFormatPr defaultRowHeight="14.4" outlineLevelCol="1"/>
  <cols>
    <col customWidth="1" min="1" max="1" style="89" width="64"/>
    <col customWidth="1" min="2" max="3" style="89" width="16.109375"/>
    <col customWidth="1" min="4" max="4" style="89" width="16.33203125"/>
    <col customWidth="1" min="5" max="6" style="89" width="14.88671875"/>
    <col customWidth="1" min="7" max="7" style="89" width="15.33203125"/>
    <col customWidth="1" hidden="1" min="8" max="9" outlineLevel="1" style="89" width="23.77734375"/>
    <col customWidth="1" hidden="1" min="10" max="11" outlineLevel="1" style="122" width="13.109375"/>
    <col collapsed="1" min="12" max="12" style="89" width="8.88671875"/>
    <col min="13" max="15" style="89" width="8.88671875"/>
    <col min="16" max="16384" style="88" width="8.88671875"/>
  </cols>
  <sheetData>
    <row r="1" ht="32.399999999999999" customHeight="1">
      <c r="A1" s="123" t="s">
        <v>58</v>
      </c>
      <c r="B1" s="123"/>
      <c r="C1" s="123"/>
      <c r="D1" s="123"/>
      <c r="E1" s="123"/>
      <c r="F1" s="90"/>
      <c r="G1" s="90"/>
    </row>
    <row r="2" ht="27.600000000000001" customHeight="1">
      <c r="A2" s="124" t="s">
        <v>59</v>
      </c>
      <c r="B2" s="125" t="s">
        <v>60</v>
      </c>
      <c r="C2" s="125" t="s">
        <v>61</v>
      </c>
      <c r="D2" s="125" t="s">
        <v>62</v>
      </c>
      <c r="E2" s="125" t="s">
        <v>63</v>
      </c>
      <c r="F2" s="126" t="s">
        <v>64</v>
      </c>
      <c r="G2" s="127" t="s">
        <v>65</v>
      </c>
      <c r="H2" s="128" t="s">
        <v>95</v>
      </c>
      <c r="I2" s="129" t="s">
        <v>96</v>
      </c>
      <c r="J2" s="130" t="s">
        <v>97</v>
      </c>
      <c r="K2" s="131"/>
    </row>
    <row r="3" s="103" customFormat="1" ht="24" customHeight="1">
      <c r="A3" s="132" t="s">
        <v>75</v>
      </c>
      <c r="B3" s="105">
        <v>4554507.2160000009</v>
      </c>
      <c r="C3" s="105">
        <v>4899364.7549354583</v>
      </c>
      <c r="D3" s="105">
        <v>-344857.53893545736</v>
      </c>
      <c r="E3" s="106">
        <v>-7.0388214837047798</v>
      </c>
      <c r="F3" s="106">
        <v>5.7216714284163706</v>
      </c>
      <c r="G3" s="133">
        <v>6.1549041435758207</v>
      </c>
      <c r="H3" s="134"/>
      <c r="I3" s="135"/>
      <c r="J3" s="136">
        <v>12.095059318347699</v>
      </c>
      <c r="K3" s="137">
        <v>56702.769233357598</v>
      </c>
      <c r="L3" s="112"/>
      <c r="M3" s="112"/>
      <c r="N3" s="112"/>
      <c r="O3" s="112"/>
    </row>
    <row r="4" s="103" customFormat="1" ht="24" customHeight="1">
      <c r="A4" s="132" t="s">
        <v>76</v>
      </c>
      <c r="B4" s="105">
        <v>5019402.9239999996</v>
      </c>
      <c r="C4" s="105">
        <v>3384926.6422848566</v>
      </c>
      <c r="D4" s="105">
        <v>1634476.281715143</v>
      </c>
      <c r="E4" s="106">
        <v>48.286904102945527</v>
      </c>
      <c r="F4" s="106"/>
      <c r="G4" s="133"/>
      <c r="H4" s="138"/>
      <c r="I4" s="139"/>
      <c r="J4" s="140">
        <v>13.329647584088464</v>
      </c>
      <c r="K4" s="133">
        <v>62490.634483783928</v>
      </c>
      <c r="L4" s="112"/>
      <c r="M4" s="112"/>
      <c r="N4" s="112"/>
      <c r="O4" s="112"/>
    </row>
    <row r="5" s="103" customFormat="1" ht="24" customHeight="1">
      <c r="A5" s="132" t="s">
        <v>77</v>
      </c>
      <c r="B5" s="105">
        <v>3133581.4920000006</v>
      </c>
      <c r="C5" s="105">
        <v>3261816.5077836295</v>
      </c>
      <c r="D5" s="105">
        <v>-128235.01578362891</v>
      </c>
      <c r="E5" s="106">
        <v>-3.9313988226383429</v>
      </c>
      <c r="F5" s="106">
        <v>4.1124826449477592</v>
      </c>
      <c r="G5" s="133">
        <v>4.2807770640433311</v>
      </c>
      <c r="H5" s="141"/>
      <c r="I5" s="142"/>
      <c r="J5" s="140">
        <v>8.3216146615095159</v>
      </c>
      <c r="K5" s="133">
        <v>39012.507783629429</v>
      </c>
      <c r="L5" s="112"/>
      <c r="M5" s="113" t="s">
        <v>78</v>
      </c>
      <c r="N5" s="113"/>
      <c r="O5" s="112"/>
    </row>
    <row r="6" s="103" customFormat="1" ht="24" customHeight="1">
      <c r="A6" s="132" t="s">
        <v>79</v>
      </c>
      <c r="B6" s="105">
        <v>2628743.0999999996</v>
      </c>
      <c r="C6" s="105">
        <v>2240243.3635333022</v>
      </c>
      <c r="D6" s="105">
        <v>388499.73646669742</v>
      </c>
      <c r="E6" s="106">
        <v>17.341854139184122</v>
      </c>
      <c r="F6" s="106">
        <v>3.6252985061041696</v>
      </c>
      <c r="G6" s="133">
        <v>3.0895186825700325</v>
      </c>
      <c r="H6" s="141"/>
      <c r="I6" s="142"/>
      <c r="J6" s="140">
        <v>6.9809536398365895</v>
      </c>
      <c r="K6" s="133">
        <v>32727.363533302399</v>
      </c>
      <c r="L6" s="112"/>
      <c r="M6" s="113" t="s">
        <v>80</v>
      </c>
      <c r="N6" s="113">
        <v>57589.099999999999</v>
      </c>
      <c r="O6" s="112"/>
    </row>
    <row r="7" s="103" customFormat="1" ht="24" customHeight="1">
      <c r="A7" s="132" t="s">
        <v>81</v>
      </c>
      <c r="B7" s="105">
        <v>1187854.176</v>
      </c>
      <c r="C7" s="105">
        <v>1456277.741156874</v>
      </c>
      <c r="D7" s="105">
        <v>-268423.56515687401</v>
      </c>
      <c r="E7" s="106">
        <v>-18.432168368077711</v>
      </c>
      <c r="F7" s="106">
        <v>1.4922605185623816</v>
      </c>
      <c r="G7" s="133">
        <v>1.8294718502463814</v>
      </c>
      <c r="H7" s="138"/>
      <c r="I7" s="139"/>
      <c r="J7" s="140">
        <v>3.1544942271240934</v>
      </c>
      <c r="K7" s="133">
        <v>14788.563950012223</v>
      </c>
      <c r="L7" s="112"/>
      <c r="M7" s="113" t="s">
        <v>82</v>
      </c>
      <c r="N7" s="113">
        <v>2836.8000000000002</v>
      </c>
      <c r="O7" s="112"/>
    </row>
    <row r="8" s="103" customFormat="1" ht="24" customHeight="1">
      <c r="A8" s="132" t="s">
        <v>83</v>
      </c>
      <c r="B8" s="105">
        <v>3898366.02</v>
      </c>
      <c r="C8" s="105">
        <v>4185751.725421526</v>
      </c>
      <c r="D8" s="105">
        <v>-287385.70542152599</v>
      </c>
      <c r="E8" s="106">
        <v>-6.865808683208158</v>
      </c>
      <c r="F8" s="106">
        <v>4.8973837160220315</v>
      </c>
      <c r="G8" s="133">
        <v>5.2584165350873091</v>
      </c>
      <c r="H8" s="138"/>
      <c r="I8" s="139"/>
      <c r="J8" s="140">
        <v>10.352594917599319</v>
      </c>
      <c r="K8" s="133">
        <v>48533.93316464177</v>
      </c>
      <c r="L8" s="112"/>
      <c r="M8" s="113" t="s">
        <v>84</v>
      </c>
      <c r="N8" s="113">
        <v>5908.2600000000002</v>
      </c>
      <c r="O8" s="112"/>
    </row>
    <row r="9" s="103" customFormat="1" ht="24" customHeight="1">
      <c r="A9" s="132" t="s">
        <v>85</v>
      </c>
      <c r="B9" s="105">
        <v>123268.83600000002</v>
      </c>
      <c r="C9" s="105">
        <v>100029.11412167396</v>
      </c>
      <c r="D9" s="105">
        <v>23239.721878326061</v>
      </c>
      <c r="E9" s="106">
        <v>23.232957806721743</v>
      </c>
      <c r="F9" s="106">
        <v>0.17000000000000004</v>
      </c>
      <c r="G9" s="133">
        <v>0.1379501093097413</v>
      </c>
      <c r="H9" s="138"/>
      <c r="I9" s="139"/>
      <c r="J9" s="140">
        <v>0.32735569685475158</v>
      </c>
      <c r="K9" s="133">
        <v>1534.6741216739802</v>
      </c>
      <c r="L9" s="112"/>
      <c r="M9" s="113"/>
      <c r="N9" s="113">
        <v>66334.160000000003</v>
      </c>
      <c r="O9" s="112"/>
    </row>
    <row r="10" s="103" customFormat="1" ht="24" customHeight="1">
      <c r="A10" s="132" t="s">
        <v>86</v>
      </c>
      <c r="B10" s="105">
        <v>1547995.0080000001</v>
      </c>
      <c r="C10" s="105">
        <v>1172512.2504433976</v>
      </c>
      <c r="D10" s="105">
        <v>375482.75755660259</v>
      </c>
      <c r="E10" s="106">
        <v>32.023781194150416</v>
      </c>
      <c r="F10" s="106">
        <v>2.2400000000000002</v>
      </c>
      <c r="G10" s="133">
        <v>1.6966640250258551</v>
      </c>
      <c r="H10" s="138"/>
      <c r="I10" s="139"/>
      <c r="J10" s="140">
        <v>4.1108929151526716</v>
      </c>
      <c r="K10" s="133">
        <v>19272.250443397592</v>
      </c>
      <c r="L10" s="112"/>
      <c r="M10" s="112"/>
      <c r="N10" s="112"/>
      <c r="O10" s="112"/>
    </row>
    <row r="11" s="103" customFormat="1" ht="24" customHeight="1">
      <c r="A11" s="132" t="s">
        <v>88</v>
      </c>
      <c r="B11" s="105">
        <v>4665878.0880000005</v>
      </c>
      <c r="C11" s="105">
        <v>5327621.5546677969</v>
      </c>
      <c r="D11" s="105">
        <v>-661743.46666779649</v>
      </c>
      <c r="E11" s="106">
        <v>-12.420992367372833</v>
      </c>
      <c r="F11" s="106">
        <v>5.8615828405756547</v>
      </c>
      <c r="G11" s="133">
        <v>6.6929084937381136</v>
      </c>
      <c r="H11" s="143"/>
      <c r="I11" s="139"/>
      <c r="J11" s="140">
        <v>12.390818494761772</v>
      </c>
      <c r="K11" s="133">
        <v>58089.315912249462</v>
      </c>
      <c r="L11" s="112"/>
      <c r="M11" s="112"/>
      <c r="N11" s="112"/>
      <c r="O11" s="112"/>
    </row>
    <row r="12" s="103" customFormat="1" ht="24" customHeight="1">
      <c r="A12" s="132" t="s">
        <v>89</v>
      </c>
      <c r="B12" s="105">
        <v>400820.13600000012</v>
      </c>
      <c r="C12" s="105">
        <v>339557.99783275893</v>
      </c>
      <c r="D12" s="105">
        <v>61262.138167241181</v>
      </c>
      <c r="E12" s="106">
        <v>18.041730295928531</v>
      </c>
      <c r="F12" s="106">
        <v>0.58000000000000018</v>
      </c>
      <c r="G12" s="133">
        <v>0.49135165889719717</v>
      </c>
      <c r="H12" s="138"/>
      <c r="I12" s="139"/>
      <c r="J12" s="140">
        <v>1.0644276298163171</v>
      </c>
      <c r="K12" s="133">
        <v>4990.1362755225928</v>
      </c>
      <c r="L12" s="112"/>
      <c r="M12" s="112"/>
      <c r="N12" s="112"/>
      <c r="O12" s="112"/>
    </row>
    <row r="13" s="103" customFormat="1" ht="24" customHeight="1">
      <c r="A13" s="132" t="s">
        <v>90</v>
      </c>
      <c r="B13" s="105">
        <v>1711261.4880000001</v>
      </c>
      <c r="C13" s="105">
        <v>2436586.7857267675</v>
      </c>
      <c r="D13" s="105">
        <v>-725325.29772676737</v>
      </c>
      <c r="E13" s="106">
        <v>-29.768087965330665</v>
      </c>
      <c r="F13" s="106">
        <v>2.3599999999999999</v>
      </c>
      <c r="G13" s="133">
        <v>3.3602958137249748</v>
      </c>
      <c r="H13" s="138"/>
      <c r="I13" s="139"/>
      <c r="J13" s="140">
        <v>4.5444673210424327</v>
      </c>
      <c r="K13" s="133">
        <v>21304.887806768191</v>
      </c>
      <c r="L13" s="112"/>
      <c r="M13" s="112"/>
      <c r="N13" s="112"/>
      <c r="O13" s="112"/>
    </row>
    <row r="14" s="103" customFormat="1" ht="24" customHeight="1">
      <c r="A14" s="132" t="s">
        <v>91</v>
      </c>
      <c r="B14" s="105">
        <v>6233444.1839999994</v>
      </c>
      <c r="C14" s="105">
        <v>4793757.8627676098</v>
      </c>
      <c r="D14" s="105">
        <v>1439686.3212323897</v>
      </c>
      <c r="E14" s="106">
        <v>30.032520674734428</v>
      </c>
      <c r="F14" s="106">
        <v>9.0199999999999996</v>
      </c>
      <c r="G14" s="133">
        <v>6.9367262537060101</v>
      </c>
      <c r="H14" s="138"/>
      <c r="I14" s="139"/>
      <c r="J14" s="140">
        <v>16.553684863695132</v>
      </c>
      <c r="K14" s="133">
        <v>77605.222767609943</v>
      </c>
      <c r="L14" s="112"/>
      <c r="M14" s="112"/>
      <c r="N14" s="112"/>
      <c r="O14" s="112"/>
    </row>
    <row r="15" s="103" customFormat="1" ht="24" customHeight="1">
      <c r="A15" s="132" t="s">
        <v>92</v>
      </c>
      <c r="B15" s="105">
        <v>2391284.1599999997</v>
      </c>
      <c r="C15" s="105">
        <v>1931771.0438177651</v>
      </c>
      <c r="D15" s="105">
        <v>459513.1161822346</v>
      </c>
      <c r="E15" s="106">
        <v>23.787141734669433</v>
      </c>
      <c r="F15" s="106">
        <v>33.727980826842419</v>
      </c>
      <c r="G15" s="133">
        <v>27.24675629003244</v>
      </c>
      <c r="H15" s="138"/>
      <c r="I15" s="139"/>
      <c r="J15" s="140">
        <v>6.3503519460062794</v>
      </c>
      <c r="K15" s="133">
        <v>29771.043817765098</v>
      </c>
      <c r="L15" s="112"/>
      <c r="M15" s="112"/>
      <c r="N15" s="112"/>
      <c r="O15" s="112"/>
    </row>
    <row r="16" s="103" customFormat="1" ht="24" customHeight="1">
      <c r="A16" s="132" t="s">
        <v>93</v>
      </c>
      <c r="B16" s="105">
        <v>159524.37600000002</v>
      </c>
      <c r="C16" s="105">
        <v>1986.0488633427976</v>
      </c>
      <c r="D16" s="105">
        <v>157538.32713665723</v>
      </c>
      <c r="E16" s="106">
        <v>7932.2482968268059</v>
      </c>
      <c r="F16" s="106">
        <v>0.22</v>
      </c>
      <c r="G16" s="133">
        <v>0.0027389591540255605</v>
      </c>
      <c r="H16" s="138"/>
      <c r="I16" s="139"/>
      <c r="J16" s="140">
        <v>0.42363678416497258</v>
      </c>
      <c r="K16" s="133">
        <v>1986.0488633427976</v>
      </c>
      <c r="L16" s="112"/>
      <c r="M16" s="112"/>
      <c r="N16" s="112"/>
      <c r="O16" s="112"/>
    </row>
    <row r="17" s="103" customFormat="1" ht="24" customHeight="1">
      <c r="A17" s="144" t="s">
        <v>94</v>
      </c>
      <c r="B17" s="145">
        <v>37655931.203999996</v>
      </c>
      <c r="C17" s="145">
        <v>35532203.393356763</v>
      </c>
      <c r="D17" s="145">
        <v>2123727.8106432334</v>
      </c>
      <c r="E17" s="146">
        <v>5.9769099797517526</v>
      </c>
      <c r="F17" s="146">
        <v>74.02866048147078</v>
      </c>
      <c r="G17" s="147">
        <v>67.178479879111237</v>
      </c>
      <c r="H17" s="148"/>
      <c r="I17" s="149"/>
      <c r="J17" s="150">
        <v>100</v>
      </c>
      <c r="K17" s="151">
        <v>468809.35215705697</v>
      </c>
      <c r="L17" s="112"/>
      <c r="M17" s="112"/>
      <c r="N17" s="112"/>
      <c r="O17" s="112"/>
    </row>
  </sheetData>
  <mergeCells count="2">
    <mergeCell ref="A1:E1"/>
    <mergeCell ref="J2:K2"/>
  </mergeCells>
  <printOptions headings="0" gridLines="0"/>
  <pageMargins left="0.69999999999999996" right="0.69999999999999996" top="0.75" bottom="0.75" header="0.29999999999999999" footer="0.29999999999999999"/>
  <pageSetup paperSize="9" scale="33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6">
    <outlinePr applyStyles="0" showOutlineSymbols="1" summaryBelow="1" summaryRight="1"/>
    <pageSetUpPr autoPageBreaks="1" fitToPage="1"/>
  </sheetPr>
  <sheetViews>
    <sheetView workbookViewId="0" zoomScale="100">
      <selection activeCell="J7" activeCellId="0" sqref="J7"/>
    </sheetView>
  </sheetViews>
  <sheetFormatPr defaultColWidth="8.88671875" defaultRowHeight="14.4"/>
  <cols>
    <col customWidth="1" min="1" max="1" style="153" width="25.6640625"/>
    <col customWidth="1" min="2" max="2" style="153" width="26.33203125"/>
    <col customWidth="1" min="3" max="3" style="153" width="12.6640625"/>
    <col customWidth="1" min="4" max="5" style="153" width="13.33203125"/>
    <col customWidth="1" min="6" max="6" style="153" width="14.109375"/>
    <col customWidth="1" min="7" max="11" style="153" width="13.33203125"/>
    <col customWidth="1" min="12" max="14" style="153" width="12"/>
    <col customWidth="1" min="15" max="15" style="153" width="12.6640625"/>
    <col customWidth="1" min="16" max="16" style="153" width="12.88671875"/>
    <col customWidth="1" min="17" max="18" style="153" width="12"/>
    <col customWidth="1" min="19" max="19" style="153" width="11.6640625"/>
    <col customWidth="1" min="20" max="20" style="153" width="13"/>
    <col min="21" max="27" style="153" width="8.88671875"/>
    <col min="28" max="16384" style="152" width="8.88671875"/>
  </cols>
  <sheetData>
    <row r="2">
      <c r="A2" s="154" t="s">
        <v>98</v>
      </c>
      <c r="B2" s="155"/>
    </row>
    <row r="3" s="156" customFormat="1" ht="12">
      <c r="A3" s="156" t="s">
        <v>80</v>
      </c>
      <c r="B3" s="157">
        <v>57589.099999999999</v>
      </c>
      <c r="D3" s="155"/>
    </row>
    <row r="4" s="156" customFormat="1" ht="12">
      <c r="A4" s="156" t="s">
        <v>82</v>
      </c>
      <c r="B4" s="157">
        <v>2836.8000000000002</v>
      </c>
      <c r="D4" s="155"/>
    </row>
    <row r="5" s="156" customFormat="1" ht="12">
      <c r="A5" s="156" t="s">
        <v>84</v>
      </c>
      <c r="B5" s="157">
        <v>5908.2600000000002</v>
      </c>
      <c r="D5" s="158"/>
    </row>
    <row r="6" s="156" customFormat="1" ht="12">
      <c r="B6" s="159">
        <f>SUM(B3:B5)</f>
        <v>66334.160000000003</v>
      </c>
      <c r="D6" s="158"/>
    </row>
    <row r="7" s="156" customFormat="1" ht="12">
      <c r="A7" s="156" t="s">
        <v>99</v>
      </c>
      <c r="B7" s="160">
        <v>177</v>
      </c>
      <c r="D7" s="161"/>
    </row>
    <row r="8" s="162" customFormat="1" ht="13.199999999999999">
      <c r="B8" s="163"/>
      <c r="N8" s="164"/>
    </row>
    <row r="9">
      <c r="A9" s="165"/>
    </row>
    <row r="10" s="166" customFormat="1" ht="43.200000000000003" customHeight="1">
      <c r="A10" s="167" t="s">
        <v>100</v>
      </c>
      <c r="B10" s="168" t="s">
        <v>101</v>
      </c>
      <c r="C10" s="168" t="s">
        <v>102</v>
      </c>
      <c r="D10" s="169" t="s">
        <v>103</v>
      </c>
      <c r="E10" s="169" t="s">
        <v>104</v>
      </c>
      <c r="F10" s="169" t="s">
        <v>105</v>
      </c>
      <c r="G10" s="169" t="s">
        <v>106</v>
      </c>
      <c r="H10" s="169" t="s">
        <v>107</v>
      </c>
      <c r="I10" s="169" t="s">
        <v>108</v>
      </c>
      <c r="J10" s="169" t="s">
        <v>109</v>
      </c>
      <c r="K10" s="169" t="s">
        <v>110</v>
      </c>
      <c r="L10" s="169" t="s">
        <v>111</v>
      </c>
      <c r="M10" s="169" t="s">
        <v>112</v>
      </c>
      <c r="N10" s="169" t="s">
        <v>113</v>
      </c>
      <c r="O10" s="169" t="s">
        <v>114</v>
      </c>
      <c r="P10" s="169" t="s">
        <v>115</v>
      </c>
      <c r="Q10" s="170" t="s">
        <v>116</v>
      </c>
      <c r="R10" s="170" t="s">
        <v>117</v>
      </c>
      <c r="S10" s="169" t="s">
        <v>13</v>
      </c>
      <c r="T10" s="171" t="s">
        <v>14</v>
      </c>
      <c r="U10" s="172"/>
      <c r="V10" s="172"/>
      <c r="W10" s="172"/>
      <c r="X10" s="172"/>
      <c r="Y10" s="172"/>
      <c r="Z10" s="172"/>
      <c r="AA10" s="172"/>
    </row>
    <row r="11" s="166" customFormat="1" ht="12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  <c r="R11" s="175"/>
      <c r="S11" s="176"/>
      <c r="T11" s="177"/>
      <c r="U11" s="172"/>
      <c r="V11" s="172"/>
      <c r="W11" s="172"/>
      <c r="X11" s="172"/>
      <c r="Y11" s="172"/>
      <c r="Z11" s="172"/>
      <c r="AA11" s="172"/>
    </row>
    <row r="12" s="178" customFormat="1" ht="12" customHeight="1">
      <c r="A12" s="179" t="s">
        <v>118</v>
      </c>
      <c r="B12" s="180" t="s">
        <v>119</v>
      </c>
      <c r="C12" s="180">
        <v>1</v>
      </c>
      <c r="D12" s="180">
        <v>39650</v>
      </c>
      <c r="E12" s="180">
        <f>29650+10000</f>
        <v>39650</v>
      </c>
      <c r="F12" s="180"/>
      <c r="G12" s="180"/>
      <c r="H12" s="180">
        <f t="shared" ref="H12:H19" si="23">E12+F12+G12</f>
        <v>39650</v>
      </c>
      <c r="I12" s="180">
        <f t="shared" ref="I12:I15" si="24">12792*30.2%+(H12-12792)*15%</f>
        <v>7891.884</v>
      </c>
      <c r="J12" s="181">
        <f>127614*1.1/12</f>
        <v>11697.950000000003</v>
      </c>
      <c r="K12" s="180">
        <f t="shared" ref="K12:K13" si="25">(2032/12)+(2500/24)</f>
        <v>273.5</v>
      </c>
      <c r="L12" s="180">
        <f>(3300+5500+1540)/12</f>
        <v>861.66666666666663</v>
      </c>
      <c r="M12" s="181">
        <f>C47</f>
        <v>60150.777777777781</v>
      </c>
      <c r="N12" s="181">
        <f>H12+H13+H14+H15+H16+I12+I13+I14+I15+I16+J12+K12+K13+K14+K15+K16+L12+L13+L14+L15+L16+M12</f>
        <v>473751.66577777779</v>
      </c>
      <c r="O12" s="181">
        <f>N12*95%*1%</f>
        <v>4500.6408248888893</v>
      </c>
      <c r="P12" s="181">
        <f>(N12+O12)*10%</f>
        <v>47825.230660266672</v>
      </c>
      <c r="Q12" s="182">
        <f>(N12+O12+P12)/B6</f>
        <v>7.9307183095848854</v>
      </c>
      <c r="R12" s="182">
        <v>5.7199999999999998</v>
      </c>
      <c r="S12" s="183">
        <f>Q12-R12</f>
        <v>2.2107183095848857</v>
      </c>
      <c r="T12" s="184">
        <f>Q12/R12*100-100</f>
        <v>38.648921496239268</v>
      </c>
      <c r="U12" s="185"/>
      <c r="V12" s="185"/>
      <c r="W12" s="185"/>
      <c r="X12" s="185"/>
      <c r="Y12" s="185"/>
      <c r="Z12" s="185"/>
      <c r="AA12" s="185"/>
    </row>
    <row r="13" s="178" customFormat="1" ht="12" customHeight="1">
      <c r="A13" s="186"/>
      <c r="B13" s="187" t="s">
        <v>120</v>
      </c>
      <c r="C13" s="187">
        <v>1</v>
      </c>
      <c r="D13" s="187">
        <v>69550</v>
      </c>
      <c r="E13" s="187">
        <f>59550+10000</f>
        <v>69550</v>
      </c>
      <c r="F13" s="187"/>
      <c r="G13" s="187"/>
      <c r="H13" s="187">
        <f t="shared" si="23"/>
        <v>69550</v>
      </c>
      <c r="I13" s="187">
        <f t="shared" si="24"/>
        <v>12376.883999999998</v>
      </c>
      <c r="J13" s="188"/>
      <c r="K13" s="187">
        <f t="shared" si="25"/>
        <v>273.5</v>
      </c>
      <c r="L13" s="187"/>
      <c r="M13" s="188"/>
      <c r="N13" s="188"/>
      <c r="O13" s="188"/>
      <c r="P13" s="188"/>
      <c r="Q13" s="189"/>
      <c r="R13" s="189"/>
      <c r="S13" s="190"/>
      <c r="T13" s="191"/>
      <c r="U13" s="185"/>
      <c r="V13" s="185"/>
      <c r="W13" s="185"/>
      <c r="X13" s="185"/>
      <c r="Y13" s="185"/>
      <c r="Z13" s="185"/>
      <c r="AA13" s="185"/>
    </row>
    <row r="14" s="178" customFormat="1" ht="14.4" customHeight="1">
      <c r="A14" s="186"/>
      <c r="B14" s="187" t="s">
        <v>121</v>
      </c>
      <c r="C14" s="187">
        <v>1</v>
      </c>
      <c r="D14" s="187">
        <v>25490</v>
      </c>
      <c r="E14" s="187">
        <f>15490+10000</f>
        <v>25490</v>
      </c>
      <c r="F14" s="187"/>
      <c r="G14" s="187">
        <f t="shared" ref="G14:G19" si="26">E14/12</f>
        <v>2124.1666666666665</v>
      </c>
      <c r="H14" s="187">
        <f t="shared" si="23"/>
        <v>27614.166666666668</v>
      </c>
      <c r="I14" s="187">
        <f t="shared" si="24"/>
        <v>6086.509</v>
      </c>
      <c r="J14" s="188"/>
      <c r="K14" s="187">
        <f t="shared" ref="K14:K15" si="27">(4202/12)+(4303/24)</f>
        <v>529.45833333333337</v>
      </c>
      <c r="L14" s="187">
        <f>C14*(3300+5700)/12</f>
        <v>750</v>
      </c>
      <c r="M14" s="188"/>
      <c r="N14" s="188"/>
      <c r="O14" s="188"/>
      <c r="P14" s="188"/>
      <c r="Q14" s="189"/>
      <c r="R14" s="189"/>
      <c r="S14" s="190"/>
      <c r="T14" s="191"/>
      <c r="U14" s="185"/>
      <c r="V14" s="185"/>
      <c r="W14" s="185"/>
      <c r="X14" s="185"/>
      <c r="Y14" s="185"/>
      <c r="Z14" s="185"/>
      <c r="AA14" s="185"/>
    </row>
    <row r="15" s="178" customFormat="1" ht="24" customHeight="1">
      <c r="A15" s="186"/>
      <c r="B15" s="192" t="s">
        <v>122</v>
      </c>
      <c r="C15" s="187">
        <v>1</v>
      </c>
      <c r="D15" s="187">
        <v>45000</v>
      </c>
      <c r="E15" s="187">
        <v>45000</v>
      </c>
      <c r="F15" s="187"/>
      <c r="G15" s="187">
        <f t="shared" si="26"/>
        <v>3750</v>
      </c>
      <c r="H15" s="187">
        <f t="shared" si="23"/>
        <v>48750</v>
      </c>
      <c r="I15" s="187">
        <f t="shared" si="24"/>
        <v>9256.884</v>
      </c>
      <c r="J15" s="188"/>
      <c r="K15" s="187">
        <f t="shared" si="27"/>
        <v>529.45833333333337</v>
      </c>
      <c r="L15" s="187">
        <f t="shared" ref="L15:L16" si="28">C15*5700/12</f>
        <v>475</v>
      </c>
      <c r="M15" s="188"/>
      <c r="N15" s="188"/>
      <c r="O15" s="188"/>
      <c r="P15" s="188"/>
      <c r="Q15" s="189"/>
      <c r="R15" s="189"/>
      <c r="S15" s="190"/>
      <c r="T15" s="191"/>
      <c r="U15" s="185"/>
      <c r="V15" s="185"/>
      <c r="W15" s="185"/>
      <c r="X15" s="185"/>
      <c r="Y15" s="185"/>
      <c r="Z15" s="185"/>
      <c r="AA15" s="185"/>
    </row>
    <row r="16" s="178" customFormat="1" ht="14.4" customHeight="1">
      <c r="A16" s="193"/>
      <c r="B16" s="194" t="s">
        <v>123</v>
      </c>
      <c r="C16" s="194">
        <v>3</v>
      </c>
      <c r="D16" s="194">
        <v>45000</v>
      </c>
      <c r="E16" s="194">
        <f>45000*C16</f>
        <v>135000</v>
      </c>
      <c r="F16" s="194"/>
      <c r="G16" s="194">
        <f t="shared" si="26"/>
        <v>11250</v>
      </c>
      <c r="H16" s="194">
        <f t="shared" si="23"/>
        <v>146250</v>
      </c>
      <c r="I16" s="194">
        <f>C16*12792*30.2%+(H16-12792*C16)*15%</f>
        <v>27770.651999999998</v>
      </c>
      <c r="J16" s="195"/>
      <c r="K16" s="194">
        <f>C16*((4202/12)+(4303/24))</f>
        <v>1588.375</v>
      </c>
      <c r="L16" s="194">
        <f t="shared" si="28"/>
        <v>1425</v>
      </c>
      <c r="M16" s="195"/>
      <c r="N16" s="195"/>
      <c r="O16" s="195"/>
      <c r="P16" s="195"/>
      <c r="Q16" s="196"/>
      <c r="R16" s="196"/>
      <c r="S16" s="197"/>
      <c r="T16" s="198"/>
      <c r="U16" s="185"/>
      <c r="V16" s="185"/>
      <c r="W16" s="185"/>
      <c r="X16" s="185"/>
      <c r="Y16" s="185"/>
      <c r="Z16" s="185"/>
      <c r="AA16" s="185"/>
    </row>
    <row r="17" s="166" customFormat="1" ht="14.4" customHeight="1">
      <c r="A17" s="199"/>
      <c r="B17" s="174"/>
      <c r="C17" s="174"/>
      <c r="D17" s="174"/>
      <c r="E17" s="174"/>
      <c r="F17" s="174"/>
      <c r="G17" s="174"/>
      <c r="H17" s="174"/>
      <c r="I17" s="174"/>
      <c r="J17" s="188"/>
      <c r="K17" s="174"/>
      <c r="L17" s="174"/>
      <c r="M17" s="188"/>
      <c r="N17" s="188"/>
      <c r="O17" s="188"/>
      <c r="P17" s="188"/>
      <c r="Q17" s="189"/>
      <c r="R17" s="189"/>
      <c r="S17" s="190"/>
      <c r="T17" s="191"/>
      <c r="U17" s="172"/>
      <c r="V17" s="172"/>
      <c r="W17" s="172"/>
      <c r="X17" s="172"/>
      <c r="Y17" s="172"/>
      <c r="Z17" s="172"/>
      <c r="AA17" s="172"/>
    </row>
    <row r="18" s="178" customFormat="1" ht="14.4" customHeight="1">
      <c r="A18" s="200" t="s">
        <v>90</v>
      </c>
      <c r="B18" s="201" t="s">
        <v>124</v>
      </c>
      <c r="C18" s="201">
        <v>4</v>
      </c>
      <c r="D18" s="201">
        <v>31270</v>
      </c>
      <c r="E18" s="201">
        <f>31270*C18</f>
        <v>125080</v>
      </c>
      <c r="F18" s="201">
        <f>54722.5/12</f>
        <v>4560.208333333333</v>
      </c>
      <c r="G18" s="201">
        <f t="shared" si="26"/>
        <v>10423.333333333334</v>
      </c>
      <c r="H18" s="201">
        <f t="shared" si="23"/>
        <v>140063.54166666666</v>
      </c>
      <c r="I18" s="201">
        <f t="shared" ref="I18:I19" si="29">C18*12792*30.2%+(H18-12792*C18)*15%</f>
        <v>28787.067249999996</v>
      </c>
      <c r="J18" s="201">
        <f>386394*1.1/12</f>
        <v>35419.450000000004</v>
      </c>
      <c r="K18" s="201">
        <f t="shared" ref="K18:K19" si="30">C18*((2076/12)+(2448/24))</f>
        <v>1100</v>
      </c>
      <c r="L18" s="201">
        <f>C18*2950/12</f>
        <v>983.33333333333337</v>
      </c>
      <c r="M18" s="201">
        <f>C51</f>
        <v>4800</v>
      </c>
      <c r="N18" s="201">
        <f t="shared" ref="N18:N19" si="31">H18+I18+J18+K18+L18+M18</f>
        <v>211153.39225</v>
      </c>
      <c r="O18" s="201">
        <f t="shared" ref="O18:O19" si="32">N18*95%*1%</f>
        <v>2005.9572263750001</v>
      </c>
      <c r="P18" s="201">
        <f t="shared" ref="P18:P19" si="33">(N18+O18)*10%</f>
        <v>21315.934947637503</v>
      </c>
      <c r="Q18" s="202">
        <f>(N18+O18+P18)/(B3+B4)</f>
        <v>3.8803771962686944</v>
      </c>
      <c r="R18" s="202">
        <v>2.3599999999999999</v>
      </c>
      <c r="S18" s="203">
        <f t="shared" ref="S18:S19" si="34">Q18-R18</f>
        <v>1.5203771962686945</v>
      </c>
      <c r="T18" s="204">
        <f t="shared" ref="T18:T19" si="35">Q18/R18*100-100</f>
        <v>64.422762553758247</v>
      </c>
      <c r="U18" s="185"/>
      <c r="V18" s="185"/>
      <c r="W18" s="185"/>
      <c r="X18" s="185"/>
      <c r="Y18" s="185"/>
      <c r="Z18" s="185"/>
      <c r="AA18" s="185"/>
    </row>
    <row r="19" s="178" customFormat="1" ht="14.4" customHeight="1">
      <c r="A19" s="200" t="s">
        <v>91</v>
      </c>
      <c r="B19" s="201" t="s">
        <v>125</v>
      </c>
      <c r="C19" s="201">
        <v>24</v>
      </c>
      <c r="D19" s="201">
        <v>17000</v>
      </c>
      <c r="E19" s="201">
        <f>17000*C19</f>
        <v>408000</v>
      </c>
      <c r="F19" s="201">
        <f>178500/12</f>
        <v>14875</v>
      </c>
      <c r="G19" s="201">
        <f t="shared" si="26"/>
        <v>34000</v>
      </c>
      <c r="H19" s="201">
        <f t="shared" si="23"/>
        <v>456875</v>
      </c>
      <c r="I19" s="201">
        <f t="shared" si="29"/>
        <v>115196.466</v>
      </c>
      <c r="J19" s="201">
        <f>64428*1.1/12</f>
        <v>5905.9000000000005</v>
      </c>
      <c r="K19" s="201">
        <f t="shared" si="30"/>
        <v>6600</v>
      </c>
      <c r="L19" s="201"/>
      <c r="M19" s="201"/>
      <c r="N19" s="201">
        <f t="shared" si="31"/>
        <v>584577.36600000004</v>
      </c>
      <c r="O19" s="201">
        <f t="shared" si="32"/>
        <v>5553.484977000001</v>
      </c>
      <c r="P19" s="201">
        <f t="shared" si="33"/>
        <v>59013.085097700008</v>
      </c>
      <c r="Q19" s="202">
        <f>(N19+O19+P19)/B3</f>
        <v>11.271993069429808</v>
      </c>
      <c r="R19" s="202">
        <v>9.0199999999999996</v>
      </c>
      <c r="S19" s="203">
        <f t="shared" si="34"/>
        <v>2.2519930694298083</v>
      </c>
      <c r="T19" s="204">
        <f t="shared" si="35"/>
        <v>24.966663740906966</v>
      </c>
      <c r="U19" s="185"/>
      <c r="V19" s="185"/>
      <c r="W19" s="185"/>
      <c r="X19" s="185"/>
      <c r="Y19" s="185"/>
      <c r="Z19" s="185"/>
      <c r="AA19" s="185"/>
    </row>
    <row r="20" s="205" customFormat="1" ht="12">
      <c r="A20" s="206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8"/>
      <c r="R20" s="208"/>
      <c r="S20" s="209"/>
      <c r="T20" s="210"/>
      <c r="U20" s="211"/>
      <c r="V20" s="211"/>
      <c r="W20" s="211"/>
      <c r="X20" s="211"/>
      <c r="Y20" s="211"/>
      <c r="Z20" s="211"/>
      <c r="AA20" s="211"/>
    </row>
    <row r="21" s="212" customForma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</row>
    <row r="22" s="166" customFormat="1" ht="58.200000000000003" customHeight="1">
      <c r="A22" s="167" t="s">
        <v>100</v>
      </c>
      <c r="B22" s="214" t="s">
        <v>126</v>
      </c>
      <c r="C22" s="169" t="s">
        <v>127</v>
      </c>
      <c r="D22" s="169" t="s">
        <v>128</v>
      </c>
      <c r="E22" s="169" t="s">
        <v>129</v>
      </c>
      <c r="F22" s="169" t="s">
        <v>114</v>
      </c>
      <c r="G22" s="171" t="s">
        <v>115</v>
      </c>
      <c r="H22" s="215" t="s">
        <v>130</v>
      </c>
      <c r="I22" s="215" t="s">
        <v>131</v>
      </c>
      <c r="J22" s="214" t="s">
        <v>132</v>
      </c>
      <c r="K22" s="216" t="s">
        <v>14</v>
      </c>
      <c r="L22" s="172"/>
      <c r="M22" s="167" t="s">
        <v>133</v>
      </c>
      <c r="N22" s="214" t="s">
        <v>134</v>
      </c>
      <c r="O22" s="168" t="s">
        <v>135</v>
      </c>
      <c r="P22" s="215" t="s">
        <v>130</v>
      </c>
      <c r="Q22" s="215" t="s">
        <v>131</v>
      </c>
      <c r="R22" s="214" t="s">
        <v>136</v>
      </c>
      <c r="S22" s="216" t="s">
        <v>14</v>
      </c>
      <c r="U22" s="172"/>
      <c r="V22" s="172"/>
      <c r="W22" s="172"/>
      <c r="X22" s="172"/>
      <c r="Y22" s="172"/>
      <c r="Z22" s="172"/>
      <c r="AA22" s="172"/>
    </row>
    <row r="23" s="166" customFormat="1" ht="12" customHeight="1">
      <c r="A23" s="217"/>
      <c r="B23" s="218"/>
      <c r="C23" s="218"/>
      <c r="D23" s="218"/>
      <c r="E23" s="218"/>
      <c r="F23" s="218"/>
      <c r="G23" s="219"/>
      <c r="H23" s="220"/>
      <c r="I23" s="221"/>
      <c r="J23" s="222"/>
      <c r="K23" s="223"/>
      <c r="L23" s="172"/>
      <c r="M23" s="224" t="s">
        <v>137</v>
      </c>
      <c r="N23" s="225">
        <f>4.31*B3</f>
        <v>248209.02099999998</v>
      </c>
      <c r="O23" s="225">
        <f>N23*O25/N25</f>
        <v>316648.96830135479</v>
      </c>
      <c r="P23" s="226">
        <f>O23/B3</f>
        <v>5.4984184212178135</v>
      </c>
      <c r="Q23" s="227">
        <v>4.3099999999999996</v>
      </c>
      <c r="R23" s="228">
        <f t="shared" ref="R23:R24" si="36">P23-Q23</f>
        <v>1.1884184212178139</v>
      </c>
      <c r="S23" s="229">
        <f t="shared" ref="S23:S24" si="37">P23/Q23*100-100</f>
        <v>27.573513253313536</v>
      </c>
      <c r="U23" s="172"/>
      <c r="V23" s="172"/>
      <c r="W23" s="172"/>
      <c r="X23" s="172"/>
      <c r="Y23" s="172"/>
      <c r="Z23" s="172"/>
      <c r="AA23" s="172"/>
    </row>
    <row r="24" s="166" customFormat="1" ht="12" customHeight="1">
      <c r="A24" s="230" t="s">
        <v>138</v>
      </c>
      <c r="B24" s="231">
        <f>60000*4</f>
        <v>240000</v>
      </c>
      <c r="C24" s="231"/>
      <c r="D24" s="231"/>
      <c r="E24" s="201">
        <f>B24+B25+C24+C25+D24+D25</f>
        <v>300000</v>
      </c>
      <c r="F24" s="201">
        <f>E24*95%*1%</f>
        <v>2850</v>
      </c>
      <c r="G24" s="232">
        <f>(E24+F24)*10%</f>
        <v>30285</v>
      </c>
      <c r="H24" s="233"/>
      <c r="I24" s="234"/>
      <c r="J24" s="235"/>
      <c r="K24" s="236"/>
      <c r="L24" s="172"/>
      <c r="M24" s="237" t="s">
        <v>84</v>
      </c>
      <c r="N24" s="231">
        <f>73.01*B7</f>
        <v>12922.77</v>
      </c>
      <c r="O24" s="231">
        <f>N24*O25/N25</f>
        <v>16486.031698645227</v>
      </c>
      <c r="P24" s="238">
        <f>O24/B7</f>
        <v>93.141422026244214</v>
      </c>
      <c r="Q24" s="239">
        <v>73.010000000000005</v>
      </c>
      <c r="R24" s="240">
        <f t="shared" si="36"/>
        <v>20.131422026244209</v>
      </c>
      <c r="S24" s="241">
        <f t="shared" si="37"/>
        <v>27.573513253313521</v>
      </c>
      <c r="U24" s="172"/>
      <c r="V24" s="172"/>
      <c r="W24" s="172"/>
      <c r="X24" s="172"/>
      <c r="Y24" s="172"/>
      <c r="Z24" s="172"/>
      <c r="AA24" s="172"/>
    </row>
    <row r="25" s="166" customFormat="1" ht="12" customHeight="1">
      <c r="A25" s="242" t="s">
        <v>139</v>
      </c>
      <c r="B25" s="243">
        <f>60000*1</f>
        <v>60000</v>
      </c>
      <c r="C25" s="243"/>
      <c r="D25" s="243"/>
      <c r="E25" s="244"/>
      <c r="F25" s="244"/>
      <c r="G25" s="245"/>
      <c r="H25" s="233"/>
      <c r="I25" s="234"/>
      <c r="J25" s="235"/>
      <c r="K25" s="236"/>
      <c r="L25" s="172"/>
      <c r="M25" s="246"/>
      <c r="N25" s="247">
        <f>SUM(N23:N24)</f>
        <v>261131.79099999997</v>
      </c>
      <c r="O25" s="247">
        <f>E24+F24+G24</f>
        <v>333135</v>
      </c>
      <c r="P25" s="248"/>
      <c r="Q25" s="248"/>
      <c r="R25" s="249"/>
      <c r="S25" s="250"/>
      <c r="U25" s="172"/>
      <c r="V25" s="172"/>
      <c r="W25" s="172"/>
      <c r="X25" s="172"/>
      <c r="Y25" s="172"/>
      <c r="Z25" s="172"/>
      <c r="AA25" s="172"/>
    </row>
    <row r="26" s="166" customFormat="1" ht="12" customHeight="1">
      <c r="A26" s="242" t="s">
        <v>79</v>
      </c>
      <c r="B26" s="201">
        <f>60000*2</f>
        <v>120000</v>
      </c>
      <c r="C26" s="201">
        <f>250000/12</f>
        <v>20833.333333333332</v>
      </c>
      <c r="D26" s="201">
        <f>550000/12</f>
        <v>45833.333333333336</v>
      </c>
      <c r="E26" s="187">
        <f>B26+C26+D26</f>
        <v>186666.66666666669</v>
      </c>
      <c r="F26" s="187">
        <f>E26*95%*1%</f>
        <v>1773.3333333333335</v>
      </c>
      <c r="G26" s="251">
        <f>(E26+F26)*10%</f>
        <v>18844.000000000004</v>
      </c>
      <c r="H26" s="252">
        <f>(E26+F26+G26)/(B3+B4)</f>
        <v>3.4303833290029608</v>
      </c>
      <c r="I26" s="252">
        <v>3.4300000000000002</v>
      </c>
      <c r="J26" s="235">
        <f>H26-I26</f>
        <v>0.00038332900296067507</v>
      </c>
      <c r="K26" s="236">
        <f>H26/I26*100-100-0.01</f>
        <v>0.001175772681056628</v>
      </c>
      <c r="L26" s="185"/>
      <c r="M26" s="185"/>
      <c r="N26" s="185"/>
      <c r="O26" s="185"/>
      <c r="P26" s="185"/>
      <c r="Q26" s="185"/>
      <c r="R26" s="185"/>
      <c r="S26" s="185"/>
      <c r="U26" s="172"/>
      <c r="V26" s="172"/>
      <c r="W26" s="172"/>
      <c r="X26" s="172"/>
      <c r="Y26" s="172"/>
      <c r="Z26" s="172"/>
      <c r="AA26" s="172"/>
    </row>
    <row r="27" s="166" customFormat="1" ht="12" customHeight="1">
      <c r="A27" s="253"/>
      <c r="B27" s="247"/>
      <c r="C27" s="247"/>
      <c r="D27" s="247"/>
      <c r="E27" s="247"/>
      <c r="F27" s="194"/>
      <c r="G27" s="254"/>
      <c r="H27" s="248"/>
      <c r="I27" s="248"/>
      <c r="J27" s="249"/>
      <c r="K27" s="250"/>
      <c r="L27" s="172"/>
      <c r="M27" s="172"/>
      <c r="N27" s="172"/>
      <c r="O27" s="172"/>
      <c r="P27" s="172"/>
      <c r="Q27" s="172"/>
      <c r="R27" s="172"/>
      <c r="S27" s="172"/>
      <c r="U27" s="172"/>
      <c r="V27" s="172"/>
      <c r="W27" s="172"/>
      <c r="X27" s="172"/>
      <c r="Y27" s="172"/>
      <c r="Z27" s="172"/>
      <c r="AA27" s="172"/>
    </row>
    <row r="28" s="166" customFormat="1" ht="12" customHeight="1">
      <c r="A28" s="255"/>
      <c r="B28" s="256"/>
      <c r="C28" s="257"/>
      <c r="D28" s="257"/>
      <c r="F28" s="172"/>
      <c r="G28" s="256"/>
      <c r="H28" s="256"/>
      <c r="I28" s="172"/>
      <c r="J28" s="172"/>
      <c r="K28" s="172"/>
      <c r="L28" s="172"/>
      <c r="T28" s="172"/>
      <c r="U28" s="172"/>
      <c r="V28" s="172"/>
      <c r="W28" s="172"/>
      <c r="X28" s="172"/>
      <c r="Y28" s="172"/>
      <c r="Z28" s="172"/>
      <c r="AA28" s="172"/>
    </row>
    <row r="29" s="212" customForma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</row>
    <row r="30" s="212" customFormat="1" ht="34.200000000000003">
      <c r="A30" s="167" t="s">
        <v>100</v>
      </c>
      <c r="B30" s="214" t="s">
        <v>140</v>
      </c>
      <c r="C30" s="169" t="s">
        <v>114</v>
      </c>
      <c r="D30" s="171" t="s">
        <v>115</v>
      </c>
      <c r="E30" s="215" t="s">
        <v>141</v>
      </c>
      <c r="F30" s="215" t="s">
        <v>142</v>
      </c>
      <c r="G30" s="214" t="s">
        <v>136</v>
      </c>
      <c r="H30" s="216" t="s">
        <v>14</v>
      </c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</row>
    <row r="31" s="212" customFormat="1">
      <c r="A31" s="258"/>
      <c r="B31" s="225"/>
      <c r="C31" s="225"/>
      <c r="D31" s="259"/>
      <c r="E31" s="260"/>
      <c r="F31" s="261"/>
      <c r="G31" s="262"/>
      <c r="H31" s="26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</row>
    <row r="32" s="212" customFormat="1">
      <c r="A32" s="230" t="s">
        <v>143</v>
      </c>
      <c r="B32" s="231">
        <v>198000</v>
      </c>
      <c r="C32" s="187">
        <f>B32*95%*1%</f>
        <v>1881</v>
      </c>
      <c r="D32" s="251">
        <f>(B32+C32)*10%</f>
        <v>19988.100000000002</v>
      </c>
      <c r="E32" s="238">
        <f>(B32+C32+D32)/B7</f>
        <v>1242.1983050847457</v>
      </c>
      <c r="F32" s="239">
        <v>1125.8399999999999</v>
      </c>
      <c r="G32" s="240">
        <f>E32-F32</f>
        <v>116.35830508474578</v>
      </c>
      <c r="H32" s="241">
        <f>E32/F32*100-100</f>
        <v>10.335243470186327</v>
      </c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</row>
    <row r="33" s="212" customFormat="1">
      <c r="A33" s="253"/>
      <c r="B33" s="247"/>
      <c r="C33" s="194"/>
      <c r="D33" s="254"/>
      <c r="E33" s="248"/>
      <c r="F33" s="248"/>
      <c r="G33" s="249"/>
      <c r="H33" s="250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</row>
    <row r="34" s="212" customForma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</row>
    <row r="35" s="212" customForma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</row>
    <row r="36" s="212" customForma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</row>
    <row r="37" s="212" customFormat="1" ht="37.950000000000003" customHeight="1">
      <c r="A37" s="264" t="s">
        <v>144</v>
      </c>
      <c r="B37" s="265" t="s">
        <v>100</v>
      </c>
      <c r="C37" s="266" t="s">
        <v>145</v>
      </c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</row>
    <row r="38" s="212" customFormat="1" ht="31.199999999999999" customHeight="1">
      <c r="A38" s="267"/>
      <c r="B38" s="265" t="s">
        <v>118</v>
      </c>
      <c r="C38" s="268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</row>
    <row r="39" s="269" customFormat="1" ht="25.199999999999999" customHeight="1">
      <c r="A39" s="267"/>
      <c r="B39" s="270" t="s">
        <v>146</v>
      </c>
      <c r="C39" s="271">
        <f>35956/12</f>
        <v>2996.3333333333335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</row>
    <row r="40" s="269" customFormat="1" ht="25.199999999999999" customHeight="1">
      <c r="A40" s="267"/>
      <c r="B40" s="273" t="s">
        <v>147</v>
      </c>
      <c r="C40" s="274">
        <f>157170/12</f>
        <v>13097.5</v>
      </c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</row>
    <row r="41" s="269" customFormat="1" ht="25.199999999999999" customHeight="1">
      <c r="A41" s="267"/>
      <c r="B41" s="273" t="s">
        <v>148</v>
      </c>
      <c r="C41" s="274">
        <f>200000/12</f>
        <v>16666.666666666668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</row>
    <row r="42" s="275" customFormat="1" ht="36">
      <c r="A42" s="267"/>
      <c r="B42" s="273" t="s">
        <v>149</v>
      </c>
      <c r="C42" s="274">
        <f>48000/12</f>
        <v>4000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</row>
    <row r="43" s="275" customFormat="1" ht="48">
      <c r="A43" s="267"/>
      <c r="B43" s="273" t="s">
        <v>150</v>
      </c>
      <c r="C43" s="274">
        <f>60000/12</f>
        <v>5000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</row>
    <row r="44" s="275" customFormat="1" ht="36">
      <c r="A44" s="267"/>
      <c r="B44" s="276" t="s">
        <v>151</v>
      </c>
      <c r="C44" s="277">
        <f>250000/36</f>
        <v>6944.4444444444443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</row>
    <row r="45" s="275" customFormat="1" ht="26.399999999999999" customHeight="1">
      <c r="A45" s="267"/>
      <c r="B45" s="273" t="s">
        <v>152</v>
      </c>
      <c r="C45" s="274">
        <f>70000/12</f>
        <v>5833.333333333333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</row>
    <row r="46" s="275" customFormat="1" ht="26.399999999999999" customHeight="1">
      <c r="A46" s="267"/>
      <c r="B46" s="276" t="s">
        <v>153</v>
      </c>
      <c r="C46" s="277">
        <f>67350/12</f>
        <v>5612.5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</row>
    <row r="47" s="153" customFormat="1" ht="26.399999999999999" customHeight="1">
      <c r="A47" s="267"/>
      <c r="B47" s="278" t="s">
        <v>154</v>
      </c>
      <c r="C47" s="279">
        <f>SUM(C39:C46)</f>
        <v>60150.777777777781</v>
      </c>
      <c r="AB47" s="152"/>
      <c r="AC47" s="152"/>
    </row>
    <row r="48" ht="25.199999999999999" customHeight="1">
      <c r="A48" s="267"/>
      <c r="B48" s="265" t="s">
        <v>90</v>
      </c>
      <c r="C48" s="268"/>
    </row>
    <row r="49" ht="25.199999999999999" customHeight="1">
      <c r="A49" s="267"/>
      <c r="B49" s="273" t="s">
        <v>155</v>
      </c>
      <c r="C49" s="274">
        <f>18000/12</f>
        <v>1500</v>
      </c>
    </row>
    <row r="50" ht="25.199999999999999" customHeight="1">
      <c r="A50" s="267"/>
      <c r="B50" s="273" t="s">
        <v>156</v>
      </c>
      <c r="C50" s="274">
        <f>39600/12</f>
        <v>3300</v>
      </c>
    </row>
    <row r="51" ht="25.199999999999999" customHeight="1">
      <c r="A51" s="280"/>
      <c r="B51" s="278" t="s">
        <v>154</v>
      </c>
      <c r="C51" s="279">
        <f>SUM(C49:C50)</f>
        <v>4800</v>
      </c>
    </row>
  </sheetData>
  <mergeCells count="16">
    <mergeCell ref="J12:J16"/>
    <mergeCell ref="T12:T16"/>
    <mergeCell ref="S12:S16"/>
    <mergeCell ref="B48:C48"/>
    <mergeCell ref="A37:A51"/>
    <mergeCell ref="F24:F25"/>
    <mergeCell ref="G24:G25"/>
    <mergeCell ref="E24:E25"/>
    <mergeCell ref="R12:R16"/>
    <mergeCell ref="B38:C38"/>
    <mergeCell ref="A12:A16"/>
    <mergeCell ref="M12:M16"/>
    <mergeCell ref="N12:N16"/>
    <mergeCell ref="O12:O16"/>
    <mergeCell ref="P12:P16"/>
    <mergeCell ref="Q12:Q16"/>
  </mergeCells>
  <printOptions headings="0" gridLines="0"/>
  <pageMargins left="0.69999999999999996" right="0.69999999999999996" top="0.75" bottom="0.75" header="0.29999999999999999" footer="0.29999999999999999"/>
  <pageSetup paperSize="9" scale="5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7">
    <outlinePr applyStyles="0" showOutlineSymbols="1" summaryBelow="1" summaryRight="1"/>
    <pageSetUpPr autoPageBreaks="1" fitToPage="1"/>
  </sheetPr>
  <sheetViews>
    <sheetView workbookViewId="0" zoomScale="100">
      <selection activeCell="G24" activeCellId="0" sqref="G24"/>
    </sheetView>
  </sheetViews>
  <sheetFormatPr defaultColWidth="8.88671875" defaultRowHeight="13.800000000000001"/>
  <cols>
    <col customWidth="1" min="1" max="1" style="153" width="20.6640625"/>
    <col customWidth="1" min="2" max="2" style="153" width="26.33203125"/>
    <col customWidth="1" min="3" max="7" style="153" width="17.109375"/>
    <col customWidth="1" min="8" max="10" style="153" width="13.33203125"/>
    <col customWidth="1" min="11" max="13" style="153" width="12"/>
    <col customWidth="1" min="14" max="14" style="153" width="12.6640625"/>
    <col customWidth="1" min="15" max="15" style="153" width="12.88671875"/>
    <col customWidth="1" min="16" max="17" style="153" width="12"/>
    <col customWidth="1" min="18" max="18" style="153" width="11.6640625"/>
    <col min="19" max="16384" style="153" width="8.88671875"/>
  </cols>
  <sheetData>
    <row r="2">
      <c r="A2" s="154" t="s">
        <v>98</v>
      </c>
      <c r="B2" s="155"/>
      <c r="C2" s="155"/>
      <c r="D2" s="155"/>
      <c r="E2" s="155"/>
    </row>
    <row r="3" s="156" customFormat="1" ht="12">
      <c r="A3" s="156" t="s">
        <v>80</v>
      </c>
      <c r="B3" s="157">
        <v>57589.099999999999</v>
      </c>
      <c r="C3" s="157"/>
      <c r="D3" s="157"/>
      <c r="E3" s="157"/>
      <c r="G3" s="155"/>
    </row>
    <row r="4" s="156" customFormat="1" ht="12">
      <c r="A4" s="156" t="s">
        <v>82</v>
      </c>
      <c r="B4" s="157">
        <v>2836.8000000000002</v>
      </c>
      <c r="C4" s="157"/>
      <c r="D4" s="157"/>
      <c r="E4" s="157"/>
      <c r="G4" s="155"/>
    </row>
    <row r="5" s="156" customFormat="1" ht="12">
      <c r="A5" s="156" t="s">
        <v>84</v>
      </c>
      <c r="B5" s="157">
        <v>5908.2600000000002</v>
      </c>
      <c r="C5" s="157"/>
      <c r="D5" s="157"/>
      <c r="E5" s="157"/>
      <c r="G5" s="158"/>
    </row>
    <row r="6" s="156" customFormat="1" ht="12">
      <c r="B6" s="159">
        <f>SUM(B3:B5)</f>
        <v>66334.160000000003</v>
      </c>
      <c r="C6" s="159"/>
      <c r="D6" s="159"/>
      <c r="E6" s="159"/>
      <c r="G6" s="158"/>
    </row>
    <row r="7" s="156" customFormat="1" ht="12">
      <c r="A7" s="156" t="s">
        <v>99</v>
      </c>
      <c r="B7" s="160">
        <v>177</v>
      </c>
      <c r="C7" s="160"/>
      <c r="D7" s="160"/>
      <c r="E7" s="160"/>
      <c r="G7" s="161"/>
    </row>
    <row r="8" s="162" customFormat="1" ht="13.199999999999999">
      <c r="B8" s="163"/>
      <c r="C8" s="163"/>
      <c r="D8" s="163"/>
      <c r="E8" s="163"/>
      <c r="M8" s="164"/>
    </row>
    <row r="9" s="213" customFormat="1"/>
    <row r="10" s="172" customFormat="1" ht="46.200000000000003" customHeight="1">
      <c r="A10" s="214" t="s">
        <v>157</v>
      </c>
      <c r="B10" s="167" t="s">
        <v>100</v>
      </c>
      <c r="C10" s="214" t="s">
        <v>126</v>
      </c>
      <c r="D10" s="169" t="s">
        <v>127</v>
      </c>
      <c r="E10" s="169" t="s">
        <v>128</v>
      </c>
      <c r="F10" s="169" t="s">
        <v>129</v>
      </c>
      <c r="G10" s="169" t="s">
        <v>114</v>
      </c>
      <c r="H10" s="171" t="s">
        <v>115</v>
      </c>
      <c r="I10" s="215" t="s">
        <v>130</v>
      </c>
      <c r="J10" s="215" t="s">
        <v>131</v>
      </c>
      <c r="K10" s="214" t="s">
        <v>132</v>
      </c>
      <c r="L10" s="216" t="s">
        <v>14</v>
      </c>
      <c r="N10" s="167" t="s">
        <v>133</v>
      </c>
      <c r="O10" s="214" t="s">
        <v>134</v>
      </c>
      <c r="P10" s="168" t="s">
        <v>135</v>
      </c>
      <c r="Q10" s="215" t="s">
        <v>130</v>
      </c>
      <c r="R10" s="215" t="s">
        <v>131</v>
      </c>
      <c r="S10" s="214" t="s">
        <v>136</v>
      </c>
      <c r="T10" s="216" t="s">
        <v>14</v>
      </c>
    </row>
    <row r="11" s="172" customFormat="1" ht="12">
      <c r="A11" s="281" t="s">
        <v>158</v>
      </c>
      <c r="B11" s="217"/>
      <c r="C11" s="218"/>
      <c r="D11" s="218"/>
      <c r="E11" s="218"/>
      <c r="F11" s="218"/>
      <c r="G11" s="218"/>
      <c r="H11" s="219"/>
      <c r="I11" s="220"/>
      <c r="J11" s="221"/>
      <c r="K11" s="222"/>
      <c r="L11" s="223"/>
      <c r="N11" s="224" t="s">
        <v>137</v>
      </c>
      <c r="O11" s="225">
        <f>4.31*B3</f>
        <v>248209.02099999998</v>
      </c>
      <c r="P11" s="225">
        <f>O11*P13/O13</f>
        <v>316648.96830135479</v>
      </c>
      <c r="Q11" s="226">
        <f>P11/B3</f>
        <v>5.4984184212178135</v>
      </c>
      <c r="R11" s="227">
        <v>4.3099999999999996</v>
      </c>
      <c r="S11" s="228">
        <f t="shared" ref="S11:S12" si="38">Q11-R11</f>
        <v>1.1884184212178139</v>
      </c>
      <c r="T11" s="229">
        <f t="shared" ref="T11:T12" si="39">Q11/R11*100-100</f>
        <v>27.573513253313536</v>
      </c>
    </row>
    <row r="12" s="172" customFormat="1" ht="12" customHeight="1">
      <c r="A12" s="282"/>
      <c r="B12" s="230" t="s">
        <v>138</v>
      </c>
      <c r="C12" s="231">
        <f>60000*4</f>
        <v>240000</v>
      </c>
      <c r="D12" s="231"/>
      <c r="E12" s="231"/>
      <c r="F12" s="201">
        <f>C12+C13+D12+D13+E12+E13</f>
        <v>300000</v>
      </c>
      <c r="G12" s="201">
        <f>F12*95%*1%</f>
        <v>2850</v>
      </c>
      <c r="H12" s="232">
        <f>(F12+G12)*10%</f>
        <v>30285</v>
      </c>
      <c r="I12" s="233">
        <f>(F12+G12+H12)/(B3+B5)</f>
        <v>5.2464385920926473</v>
      </c>
      <c r="J12" s="234">
        <v>4.3099999999999996</v>
      </c>
      <c r="K12" s="235">
        <f t="shared" ref="K12:K14" si="40">I12-J12</f>
        <v>0.93643859209264768</v>
      </c>
      <c r="L12" s="236">
        <f t="shared" ref="L12:L14" si="41">I12/J12*100-100</f>
        <v>21.727113505629887</v>
      </c>
      <c r="N12" s="237" t="s">
        <v>84</v>
      </c>
      <c r="O12" s="231">
        <f>73.01*B7</f>
        <v>12922.77</v>
      </c>
      <c r="P12" s="231">
        <f>O12*P13/O13</f>
        <v>16486.031698645227</v>
      </c>
      <c r="Q12" s="238">
        <f>P12/B7</f>
        <v>93.141422026244214</v>
      </c>
      <c r="R12" s="239">
        <v>73.010000000000005</v>
      </c>
      <c r="S12" s="240">
        <f t="shared" si="38"/>
        <v>20.131422026244209</v>
      </c>
      <c r="T12" s="241">
        <f t="shared" si="39"/>
        <v>27.573513253313521</v>
      </c>
    </row>
    <row r="13" s="172" customFormat="1" ht="12" customHeight="1">
      <c r="A13" s="282"/>
      <c r="B13" s="242" t="s">
        <v>139</v>
      </c>
      <c r="C13" s="243">
        <f>60000*1</f>
        <v>60000</v>
      </c>
      <c r="D13" s="243"/>
      <c r="E13" s="243"/>
      <c r="F13" s="244"/>
      <c r="G13" s="244"/>
      <c r="H13" s="245"/>
      <c r="I13" s="233">
        <f>I12*(B5/B7)</f>
        <v>175.12612020405257</v>
      </c>
      <c r="J13" s="234">
        <v>73.010000000000005</v>
      </c>
      <c r="K13" s="235">
        <f t="shared" si="40"/>
        <v>102.11612020405256</v>
      </c>
      <c r="L13" s="236">
        <f t="shared" si="41"/>
        <v>139.86593645261274</v>
      </c>
      <c r="N13" s="246"/>
      <c r="O13" s="247">
        <f>SUM(O11:O12)</f>
        <v>261131.79099999997</v>
      </c>
      <c r="P13" s="247">
        <f>F12+G12+H12</f>
        <v>333135</v>
      </c>
      <c r="Q13" s="248"/>
      <c r="R13" s="248"/>
      <c r="S13" s="249"/>
      <c r="T13" s="250"/>
    </row>
    <row r="14" s="185" customFormat="1" ht="24">
      <c r="A14" s="282"/>
      <c r="B14" s="242" t="s">
        <v>79</v>
      </c>
      <c r="C14" s="201">
        <f>60000*2</f>
        <v>120000</v>
      </c>
      <c r="D14" s="201">
        <f>180000/12</f>
        <v>15000</v>
      </c>
      <c r="E14" s="201">
        <f>400000/12</f>
        <v>33333.333333333336</v>
      </c>
      <c r="F14" s="187">
        <f>C14+D14+E14</f>
        <v>168333.33333333334</v>
      </c>
      <c r="G14" s="187">
        <f>F14*95%*1%</f>
        <v>1599.1666666666665</v>
      </c>
      <c r="H14" s="251">
        <f>(F14+G14)*10%</f>
        <v>16993.25</v>
      </c>
      <c r="I14" s="252">
        <f>(F14+G14+H14)/(B3+B4)</f>
        <v>3.0934706806187413</v>
      </c>
      <c r="J14" s="252">
        <v>3.4300000000000002</v>
      </c>
      <c r="K14" s="235">
        <f t="shared" si="40"/>
        <v>-0.33652931938125885</v>
      </c>
      <c r="L14" s="236">
        <f t="shared" si="41"/>
        <v>-9.811350419278682</v>
      </c>
    </row>
    <row r="15" s="172" customFormat="1" ht="12" customHeight="1">
      <c r="A15" s="283"/>
      <c r="B15" s="253"/>
      <c r="C15" s="247"/>
      <c r="D15" s="247"/>
      <c r="E15" s="247"/>
      <c r="F15" s="247"/>
      <c r="G15" s="194"/>
      <c r="H15" s="254"/>
      <c r="I15" s="248"/>
      <c r="J15" s="248"/>
      <c r="K15" s="249"/>
      <c r="L15" s="250"/>
    </row>
  </sheetData>
  <mergeCells count="4">
    <mergeCell ref="A11:A15"/>
    <mergeCell ref="F12:F13"/>
    <mergeCell ref="G12:G13"/>
    <mergeCell ref="H12:H13"/>
  </mergeCells>
  <printOptions headings="0" gridLines="0"/>
  <pageMargins left="0.69999999999999996" right="0.69999999999999996" top="0.75" bottom="0.75" header="0.29999999999999999" footer="0.29999999999999999"/>
  <pageSetup paperSize="9" scale="5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8">
    <outlinePr applyStyles="0" showOutlineSymbols="1" summaryBelow="1" summaryRight="1"/>
    <pageSetUpPr autoPageBreaks="1" fitToPage="0"/>
  </sheetPr>
  <sheetViews>
    <sheetView workbookViewId="0" zoomScale="100">
      <selection activeCell="H25" activeCellId="0" sqref="H25"/>
    </sheetView>
  </sheetViews>
  <sheetFormatPr defaultColWidth="8.88671875" defaultRowHeight="13.800000000000001"/>
  <cols>
    <col customWidth="1" min="1" max="1" style="153" width="23.44140625"/>
    <col customWidth="1" min="2" max="2" style="153" width="26.44140625"/>
    <col customWidth="1" min="3" max="4" style="153" width="9"/>
    <col customWidth="1" min="5" max="5" style="153" width="10.5546875"/>
    <col customWidth="1" min="6" max="6" style="153" width="22.77734375"/>
    <col customWidth="1" min="7" max="10" style="153" width="14.44140625"/>
    <col customWidth="1" min="11" max="11" style="153" width="14.6640625"/>
    <col customWidth="1" min="12" max="12" style="153" width="11.44140625"/>
    <col customWidth="1" min="13" max="13" style="153" width="13.88671875"/>
    <col bestFit="1" customWidth="1" min="14" max="14" style="153" width="13"/>
    <col min="15" max="16384" style="153" width="8.88671875"/>
  </cols>
  <sheetData>
    <row r="1">
      <c r="A1" s="165" t="s">
        <v>159</v>
      </c>
    </row>
    <row r="3" s="162" customFormat="1" ht="13.199999999999999">
      <c r="A3" s="284" t="s">
        <v>160</v>
      </c>
    </row>
    <row r="4" s="162" customFormat="1" ht="26.399999999999999">
      <c r="A4" s="162" t="s">
        <v>80</v>
      </c>
      <c r="B4" s="285">
        <v>57589.099999999999</v>
      </c>
      <c r="C4" s="286"/>
      <c r="F4" s="287"/>
      <c r="G4" s="288" t="s">
        <v>161</v>
      </c>
      <c r="H4" s="289" t="s">
        <v>162</v>
      </c>
      <c r="I4" s="290" t="s">
        <v>163</v>
      </c>
      <c r="J4" s="291" t="s">
        <v>164</v>
      </c>
    </row>
    <row r="5" s="162" customFormat="1" ht="13.199999999999999">
      <c r="A5" s="162" t="s">
        <v>82</v>
      </c>
      <c r="B5" s="285">
        <v>2836.8000000000002</v>
      </c>
      <c r="C5" s="286"/>
      <c r="F5" s="292" t="s">
        <v>165</v>
      </c>
      <c r="G5" s="293">
        <v>2</v>
      </c>
      <c r="H5" s="294">
        <v>19</v>
      </c>
      <c r="I5" s="294">
        <v>1000</v>
      </c>
      <c r="J5" s="295">
        <v>1.6000000000000001</v>
      </c>
    </row>
    <row r="6" s="162" customFormat="1" ht="13.199999999999999">
      <c r="A6" s="162" t="s">
        <v>166</v>
      </c>
      <c r="B6" s="285">
        <v>5908.2600000000002</v>
      </c>
      <c r="C6" s="286"/>
      <c r="F6" s="296" t="s">
        <v>165</v>
      </c>
      <c r="G6" s="297">
        <v>2</v>
      </c>
      <c r="H6" s="298">
        <v>22</v>
      </c>
      <c r="I6" s="298">
        <v>1000</v>
      </c>
      <c r="J6" s="299">
        <v>1.6000000000000001</v>
      </c>
    </row>
    <row r="7" s="162" customFormat="1" ht="13.199999999999999">
      <c r="B7" s="163">
        <f>SUM(B4:B6)</f>
        <v>66334.160000000003</v>
      </c>
      <c r="F7" s="296" t="s">
        <v>165</v>
      </c>
      <c r="G7" s="297">
        <v>4</v>
      </c>
      <c r="H7" s="298">
        <v>24</v>
      </c>
      <c r="I7" s="298">
        <v>1000</v>
      </c>
      <c r="J7" s="299">
        <v>1.6000000000000001</v>
      </c>
    </row>
    <row r="8" s="162" customFormat="1" ht="13.199999999999999">
      <c r="F8" s="296" t="s">
        <v>167</v>
      </c>
      <c r="G8" s="297">
        <v>2</v>
      </c>
      <c r="H8" s="298">
        <v>19</v>
      </c>
      <c r="I8" s="298">
        <v>400</v>
      </c>
      <c r="J8" s="299">
        <v>1.6000000000000001</v>
      </c>
    </row>
    <row r="9" s="162" customFormat="1" ht="13.199999999999999">
      <c r="B9" s="163"/>
      <c r="F9" s="296" t="s">
        <v>167</v>
      </c>
      <c r="G9" s="297">
        <v>4</v>
      </c>
      <c r="H9" s="298">
        <v>22</v>
      </c>
      <c r="I9" s="298">
        <v>400</v>
      </c>
      <c r="J9" s="299">
        <v>1.6000000000000001</v>
      </c>
    </row>
    <row r="10" s="162" customFormat="1" ht="13.199999999999999">
      <c r="A10" s="162" t="s">
        <v>168</v>
      </c>
      <c r="B10" s="285">
        <v>2836.8000000000002</v>
      </c>
      <c r="F10" s="300" t="s">
        <v>167</v>
      </c>
      <c r="G10" s="301">
        <v>6</v>
      </c>
      <c r="H10" s="302">
        <v>24</v>
      </c>
      <c r="I10" s="302">
        <v>400</v>
      </c>
      <c r="J10" s="303">
        <v>1.6000000000000001</v>
      </c>
    </row>
    <row r="12">
      <c r="A12" s="165" t="s">
        <v>169</v>
      </c>
      <c r="F12" s="162"/>
      <c r="I12" s="304"/>
      <c r="J12" s="304"/>
      <c r="K12" s="304"/>
      <c r="L12" s="304"/>
      <c r="M12" s="304"/>
      <c r="N12" s="304"/>
    </row>
    <row r="13" s="304" customFormat="1" ht="13.199999999999999">
      <c r="A13" s="305" t="s">
        <v>170</v>
      </c>
      <c r="B13" s="306"/>
      <c r="C13" s="306"/>
      <c r="D13" s="306"/>
      <c r="E13" s="307">
        <v>6017.79</v>
      </c>
      <c r="I13" s="308"/>
      <c r="J13" s="309"/>
    </row>
    <row r="14" s="304" customFormat="1" ht="13.199999999999999">
      <c r="A14" s="310" t="s">
        <v>171</v>
      </c>
      <c r="B14" s="311"/>
      <c r="C14" s="311"/>
      <c r="D14" s="311"/>
      <c r="E14" s="312">
        <v>0.044999999999999998</v>
      </c>
    </row>
    <row r="15" s="304" customFormat="1" ht="13.199999999999999">
      <c r="A15" s="310" t="s">
        <v>172</v>
      </c>
      <c r="B15" s="311"/>
      <c r="C15" s="311"/>
      <c r="D15" s="311"/>
      <c r="E15" s="312">
        <f>G5</f>
        <v>2</v>
      </c>
      <c r="F15" s="309"/>
    </row>
    <row r="16" s="304" customFormat="1" ht="13.199999999999999">
      <c r="A16" s="313" t="s">
        <v>173</v>
      </c>
      <c r="B16" s="314"/>
      <c r="C16" s="314"/>
      <c r="D16" s="314"/>
      <c r="E16" s="315">
        <f>H5</f>
        <v>19</v>
      </c>
      <c r="F16" s="308"/>
    </row>
    <row r="17" s="304" customFormat="1" ht="22.199999999999999" customHeight="1">
      <c r="A17" s="316" t="s">
        <v>174</v>
      </c>
      <c r="B17" s="317"/>
      <c r="C17" s="317"/>
      <c r="D17" s="317"/>
      <c r="E17" s="318">
        <f>E13*(1+E14*(E16-2))*E15</f>
        <v>21242.798700000003</v>
      </c>
      <c r="G17" s="319"/>
      <c r="H17" s="309"/>
      <c r="I17" s="320"/>
      <c r="J17" s="319"/>
      <c r="K17" s="319"/>
    </row>
    <row r="18" s="304" customFormat="1" ht="13.199999999999999">
      <c r="B18" s="309"/>
      <c r="G18" s="319"/>
      <c r="H18" s="309"/>
      <c r="I18" s="320"/>
      <c r="J18" s="319"/>
      <c r="K18" s="319"/>
    </row>
    <row r="19" s="304" customFormat="1" ht="13.199999999999999">
      <c r="B19" s="309"/>
      <c r="F19" s="321"/>
      <c r="G19" s="319"/>
      <c r="H19" s="309"/>
      <c r="I19" s="320"/>
      <c r="J19" s="319"/>
      <c r="K19" s="319"/>
    </row>
    <row r="20" s="304" customFormat="1">
      <c r="A20" s="165" t="s">
        <v>175</v>
      </c>
      <c r="B20" s="153"/>
      <c r="C20" s="153"/>
      <c r="D20" s="153"/>
      <c r="E20" s="153"/>
      <c r="F20" s="320"/>
      <c r="G20" s="319"/>
      <c r="H20" s="309"/>
      <c r="I20" s="320"/>
      <c r="J20" s="319"/>
      <c r="K20" s="319"/>
    </row>
    <row r="21" s="304" customFormat="1" ht="13.199999999999999">
      <c r="A21" s="305" t="s">
        <v>170</v>
      </c>
      <c r="B21" s="306"/>
      <c r="C21" s="306"/>
      <c r="D21" s="306"/>
      <c r="E21" s="307">
        <v>6017.79</v>
      </c>
      <c r="F21" s="320"/>
      <c r="G21" s="319"/>
      <c r="H21" s="309"/>
      <c r="I21" s="320"/>
      <c r="J21" s="319"/>
      <c r="K21" s="319"/>
    </row>
    <row r="22" s="304" customFormat="1" ht="13.199999999999999">
      <c r="A22" s="310" t="s">
        <v>171</v>
      </c>
      <c r="B22" s="311"/>
      <c r="C22" s="311"/>
      <c r="D22" s="311"/>
      <c r="E22" s="312">
        <v>0.044999999999999998</v>
      </c>
      <c r="F22" s="320"/>
      <c r="G22" s="319"/>
      <c r="H22" s="309"/>
      <c r="I22" s="320"/>
      <c r="J22" s="319"/>
      <c r="K22" s="319"/>
    </row>
    <row r="23" s="304" customFormat="1" ht="13.199999999999999">
      <c r="A23" s="310" t="s">
        <v>172</v>
      </c>
      <c r="B23" s="311"/>
      <c r="C23" s="311"/>
      <c r="D23" s="311"/>
      <c r="E23" s="312">
        <f>G6</f>
        <v>2</v>
      </c>
      <c r="F23" s="320"/>
      <c r="G23" s="319"/>
      <c r="H23" s="309"/>
      <c r="I23" s="320"/>
      <c r="J23" s="319"/>
      <c r="K23" s="319"/>
    </row>
    <row r="24" s="304" customFormat="1" ht="13.199999999999999">
      <c r="A24" s="313" t="s">
        <v>173</v>
      </c>
      <c r="B24" s="314"/>
      <c r="C24" s="314"/>
      <c r="D24" s="314"/>
      <c r="E24" s="315">
        <f>H6</f>
        <v>22</v>
      </c>
      <c r="F24" s="320"/>
    </row>
    <row r="25" s="304" customFormat="1" ht="22.199999999999999" customHeight="1">
      <c r="A25" s="316" t="s">
        <v>174</v>
      </c>
      <c r="B25" s="317"/>
      <c r="C25" s="317"/>
      <c r="D25" s="317"/>
      <c r="E25" s="318">
        <f>E21*(1+E22*(E24-2))*E23</f>
        <v>22867.601999999999</v>
      </c>
      <c r="F25" s="320"/>
      <c r="G25" s="319"/>
      <c r="H25" s="309"/>
      <c r="I25" s="320"/>
      <c r="J25" s="319"/>
      <c r="K25" s="319"/>
    </row>
    <row r="26" s="304" customFormat="1" ht="13.199999999999999">
      <c r="B26" s="309"/>
      <c r="F26" s="320"/>
      <c r="G26" s="319"/>
      <c r="H26" s="309"/>
      <c r="I26" s="320"/>
      <c r="J26" s="319"/>
      <c r="K26" s="319"/>
    </row>
    <row r="27" s="304" customFormat="1" ht="13.199999999999999">
      <c r="B27" s="309"/>
      <c r="F27" s="320"/>
      <c r="G27" s="319"/>
      <c r="H27" s="309"/>
      <c r="I27" s="320"/>
      <c r="J27" s="319"/>
      <c r="K27" s="319"/>
    </row>
    <row r="28" s="304" customFormat="1">
      <c r="A28" s="165" t="s">
        <v>176</v>
      </c>
      <c r="B28" s="153"/>
      <c r="C28" s="153"/>
      <c r="D28" s="153"/>
      <c r="E28" s="153"/>
      <c r="F28" s="320"/>
      <c r="G28" s="319"/>
      <c r="H28" s="309"/>
      <c r="I28" s="320"/>
      <c r="J28" s="319"/>
      <c r="K28" s="319"/>
    </row>
    <row r="29" s="304" customFormat="1" ht="13.199999999999999">
      <c r="A29" s="305" t="s">
        <v>170</v>
      </c>
      <c r="B29" s="306"/>
      <c r="C29" s="306"/>
      <c r="D29" s="306"/>
      <c r="E29" s="307">
        <v>6017.79</v>
      </c>
      <c r="F29" s="320"/>
      <c r="G29" s="319"/>
      <c r="H29" s="309"/>
      <c r="I29" s="320"/>
      <c r="J29" s="319"/>
      <c r="K29" s="319"/>
    </row>
    <row r="30" s="304" customFormat="1" ht="13.199999999999999">
      <c r="A30" s="310" t="s">
        <v>171</v>
      </c>
      <c r="B30" s="311"/>
      <c r="C30" s="311"/>
      <c r="D30" s="311"/>
      <c r="E30" s="312">
        <v>0.044999999999999998</v>
      </c>
      <c r="F30" s="320"/>
      <c r="G30" s="319"/>
      <c r="H30" s="309"/>
      <c r="I30" s="320"/>
      <c r="J30" s="319"/>
      <c r="K30" s="319"/>
    </row>
    <row r="31" s="304" customFormat="1" ht="13.199999999999999">
      <c r="A31" s="310" t="s">
        <v>172</v>
      </c>
      <c r="B31" s="311"/>
      <c r="C31" s="311"/>
      <c r="D31" s="311"/>
      <c r="E31" s="312">
        <f>G7</f>
        <v>4</v>
      </c>
      <c r="F31" s="320"/>
      <c r="G31" s="319"/>
      <c r="H31" s="309"/>
      <c r="I31" s="320"/>
      <c r="J31" s="319"/>
      <c r="K31" s="319"/>
    </row>
    <row r="32" s="304" customFormat="1" ht="13.199999999999999">
      <c r="A32" s="313" t="s">
        <v>173</v>
      </c>
      <c r="B32" s="314"/>
      <c r="C32" s="314"/>
      <c r="D32" s="314"/>
      <c r="E32" s="315">
        <f>H7</f>
        <v>24</v>
      </c>
      <c r="F32" s="320"/>
    </row>
    <row r="33" s="304" customFormat="1" ht="22.199999999999999" customHeight="1">
      <c r="A33" s="316" t="s">
        <v>174</v>
      </c>
      <c r="B33" s="317"/>
      <c r="C33" s="317"/>
      <c r="D33" s="317"/>
      <c r="E33" s="318">
        <f>E29*(1+E30*(E32-2))*E31</f>
        <v>47901.608399999997</v>
      </c>
      <c r="F33" s="320"/>
      <c r="G33" s="319"/>
      <c r="H33" s="309"/>
      <c r="I33" s="320"/>
      <c r="J33" s="319"/>
      <c r="K33" s="319"/>
    </row>
    <row r="34" s="304" customFormat="1" ht="13.199999999999999">
      <c r="B34" s="309"/>
      <c r="F34" s="320"/>
      <c r="G34" s="319"/>
      <c r="H34" s="309"/>
      <c r="I34" s="320"/>
      <c r="J34" s="319"/>
      <c r="K34" s="319"/>
    </row>
    <row r="35" s="304" customFormat="1" ht="13.199999999999999">
      <c r="F35" s="320"/>
    </row>
    <row r="36" s="304" customFormat="1">
      <c r="A36" s="165" t="s">
        <v>177</v>
      </c>
      <c r="F36" s="320"/>
    </row>
    <row r="37" s="304" customFormat="1" ht="13.199999999999999">
      <c r="A37" s="305" t="s">
        <v>170</v>
      </c>
      <c r="B37" s="306"/>
      <c r="C37" s="306"/>
      <c r="D37" s="306"/>
      <c r="E37" s="307">
        <v>6017.79</v>
      </c>
      <c r="I37" s="308"/>
    </row>
    <row r="38" s="304" customFormat="1" ht="13.199999999999999">
      <c r="A38" s="310" t="s">
        <v>171</v>
      </c>
      <c r="B38" s="311"/>
      <c r="C38" s="311"/>
      <c r="D38" s="311"/>
      <c r="E38" s="312">
        <v>0.044999999999999998</v>
      </c>
    </row>
    <row r="39" s="304" customFormat="1" ht="13.199999999999999">
      <c r="A39" s="310" t="s">
        <v>172</v>
      </c>
      <c r="B39" s="311"/>
      <c r="C39" s="311"/>
      <c r="D39" s="311"/>
      <c r="E39" s="312">
        <f>G8</f>
        <v>2</v>
      </c>
      <c r="F39" s="309"/>
    </row>
    <row r="40" s="304" customFormat="1" ht="13.199999999999999">
      <c r="A40" s="313" t="s">
        <v>173</v>
      </c>
      <c r="B40" s="314"/>
      <c r="C40" s="314"/>
      <c r="D40" s="314"/>
      <c r="E40" s="315">
        <f>H8</f>
        <v>19</v>
      </c>
      <c r="F40" s="308"/>
    </row>
    <row r="41" s="304" customFormat="1" ht="22.199999999999999" customHeight="1">
      <c r="A41" s="316" t="s">
        <v>174</v>
      </c>
      <c r="B41" s="317"/>
      <c r="C41" s="317"/>
      <c r="D41" s="317"/>
      <c r="E41" s="318">
        <f>E37*(1+E38*(E40-2))*E39</f>
        <v>21242.798700000003</v>
      </c>
    </row>
    <row r="42" s="304" customFormat="1" ht="13.199999999999999"/>
    <row r="43" s="304" customFormat="1" ht="13.199999999999999">
      <c r="F43" s="321"/>
    </row>
    <row r="44" s="304" customFormat="1">
      <c r="A44" s="165" t="s">
        <v>178</v>
      </c>
      <c r="F44" s="320"/>
    </row>
    <row r="45" s="304" customFormat="1" ht="13.199999999999999">
      <c r="A45" s="305" t="s">
        <v>170</v>
      </c>
      <c r="B45" s="306"/>
      <c r="C45" s="306"/>
      <c r="D45" s="306"/>
      <c r="E45" s="307">
        <v>6017.79</v>
      </c>
      <c r="I45" s="308"/>
    </row>
    <row r="46" s="304" customFormat="1" ht="13.199999999999999">
      <c r="A46" s="310" t="s">
        <v>171</v>
      </c>
      <c r="B46" s="311"/>
      <c r="C46" s="311"/>
      <c r="D46" s="311"/>
      <c r="E46" s="312">
        <v>0.044999999999999998</v>
      </c>
    </row>
    <row r="47" s="304" customFormat="1" ht="13.199999999999999">
      <c r="A47" s="310" t="s">
        <v>172</v>
      </c>
      <c r="B47" s="311"/>
      <c r="C47" s="311"/>
      <c r="D47" s="311"/>
      <c r="E47" s="312">
        <f>G9</f>
        <v>4</v>
      </c>
      <c r="F47" s="309"/>
    </row>
    <row r="48" s="304" customFormat="1" ht="13.199999999999999">
      <c r="A48" s="313" t="s">
        <v>173</v>
      </c>
      <c r="B48" s="314"/>
      <c r="C48" s="314"/>
      <c r="D48" s="314"/>
      <c r="E48" s="315">
        <f>H9</f>
        <v>22</v>
      </c>
      <c r="F48" s="308"/>
    </row>
    <row r="49" s="304" customFormat="1" ht="20.399999999999999" customHeight="1">
      <c r="A49" s="316" t="s">
        <v>174</v>
      </c>
      <c r="B49" s="317"/>
      <c r="C49" s="317"/>
      <c r="D49" s="317"/>
      <c r="E49" s="318">
        <f>E45*(1+E46*(E48-2))*E47</f>
        <v>45735.203999999998</v>
      </c>
    </row>
    <row r="50" s="304" customFormat="1" ht="13.199999999999999"/>
    <row r="51" s="304" customFormat="1" ht="13.199999999999999"/>
    <row r="52" s="304" customFormat="1" ht="13.199999999999999"/>
    <row r="53" s="304" customFormat="1">
      <c r="A53" s="165" t="s">
        <v>179</v>
      </c>
      <c r="F53" s="320"/>
    </row>
    <row r="54" s="304" customFormat="1" ht="13.199999999999999">
      <c r="A54" s="305" t="s">
        <v>170</v>
      </c>
      <c r="B54" s="306"/>
      <c r="C54" s="306"/>
      <c r="D54" s="306"/>
      <c r="E54" s="307">
        <v>6017.79</v>
      </c>
      <c r="I54" s="308"/>
    </row>
    <row r="55" s="304" customFormat="1" ht="13.199999999999999">
      <c r="A55" s="310" t="s">
        <v>171</v>
      </c>
      <c r="B55" s="311"/>
      <c r="C55" s="311"/>
      <c r="D55" s="311"/>
      <c r="E55" s="312">
        <v>0.044999999999999998</v>
      </c>
    </row>
    <row r="56" s="304" customFormat="1" ht="13.199999999999999">
      <c r="A56" s="310" t="s">
        <v>172</v>
      </c>
      <c r="B56" s="311"/>
      <c r="C56" s="311"/>
      <c r="D56" s="311"/>
      <c r="E56" s="312">
        <f>G10</f>
        <v>6</v>
      </c>
      <c r="F56" s="309"/>
    </row>
    <row r="57" s="304" customFormat="1" ht="13.199999999999999">
      <c r="A57" s="313" t="s">
        <v>173</v>
      </c>
      <c r="B57" s="314"/>
      <c r="C57" s="314"/>
      <c r="D57" s="314"/>
      <c r="E57" s="315">
        <f>H10</f>
        <v>24</v>
      </c>
      <c r="F57" s="308"/>
    </row>
    <row r="58" s="304" customFormat="1" ht="20.399999999999999" customHeight="1">
      <c r="A58" s="316" t="s">
        <v>174</v>
      </c>
      <c r="B58" s="317"/>
      <c r="C58" s="317"/>
      <c r="D58" s="317"/>
      <c r="E58" s="318">
        <f>E54*(1+E55*(E57-2))*E56</f>
        <v>71852.412599999996</v>
      </c>
    </row>
    <row r="59" s="304" customFormat="1" ht="13.199999999999999"/>
    <row r="60">
      <c r="F60" s="321"/>
    </row>
    <row r="61" s="162" customFormat="1" ht="13.199999999999999">
      <c r="A61" s="284" t="s">
        <v>180</v>
      </c>
      <c r="B61" s="162"/>
      <c r="C61" s="162"/>
      <c r="D61" s="162"/>
      <c r="E61" s="163">
        <f>E17+E25+E33+E41+E49+E58</f>
        <v>230842.42439999996</v>
      </c>
      <c r="F61" s="320"/>
    </row>
    <row r="62" s="322" customFormat="1" ht="13.199999999999999">
      <c r="A62" s="323"/>
      <c r="B62" s="308"/>
      <c r="C62" s="324"/>
      <c r="E62" s="304"/>
      <c r="F62" s="304"/>
      <c r="G62" s="319"/>
      <c r="J62" s="319"/>
      <c r="K62" s="319"/>
    </row>
    <row r="63" s="325" customFormat="1" ht="13.199999999999999">
      <c r="A63" s="326" t="s">
        <v>181</v>
      </c>
      <c r="E63" s="308">
        <f>E61/(B4+B5-B10)</f>
        <v>4.008439520673182</v>
      </c>
      <c r="F63" s="162"/>
      <c r="G63" s="327"/>
      <c r="H63" s="308"/>
      <c r="I63" s="308"/>
      <c r="J63" s="327"/>
      <c r="K63" s="327"/>
      <c r="M63" s="308"/>
    </row>
    <row r="65">
      <c r="F65" s="322"/>
    </row>
    <row r="66">
      <c r="F66" s="308"/>
    </row>
  </sheetData>
  <mergeCells count="24">
    <mergeCell ref="A54:D54"/>
    <mergeCell ref="A55:D55"/>
    <mergeCell ref="A56:D56"/>
    <mergeCell ref="A57:D57"/>
    <mergeCell ref="A45:D45"/>
    <mergeCell ref="A46:D46"/>
    <mergeCell ref="A47:D47"/>
    <mergeCell ref="A48:D48"/>
    <mergeCell ref="A37:D37"/>
    <mergeCell ref="A38:D38"/>
    <mergeCell ref="A39:D39"/>
    <mergeCell ref="A40:D40"/>
    <mergeCell ref="A13:D13"/>
    <mergeCell ref="A14:D14"/>
    <mergeCell ref="A15:D15"/>
    <mergeCell ref="A16:D16"/>
    <mergeCell ref="A21:D21"/>
    <mergeCell ref="A22:D22"/>
    <mergeCell ref="A29:D29"/>
    <mergeCell ref="A30:D30"/>
    <mergeCell ref="A31:D31"/>
    <mergeCell ref="A32:D32"/>
    <mergeCell ref="A23:D23"/>
    <mergeCell ref="A24:D24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2">
    <outlinePr applyStyles="0" showOutlineSymbols="1" summaryBelow="1" summaryRight="1"/>
    <pageSetUpPr autoPageBreaks="1" fitToPage="0"/>
  </sheetPr>
  <sheetViews>
    <sheetView workbookViewId="0" zoomScale="90">
      <selection activeCell="G21" activeCellId="0" sqref="G21"/>
    </sheetView>
  </sheetViews>
  <sheetFormatPr defaultColWidth="8.88671875" defaultRowHeight="13.800000000000001"/>
  <cols>
    <col customWidth="1" min="1" max="2" style="328" width="17.6640625"/>
    <col customWidth="1" min="3" max="3" style="328" width="16.33203125"/>
    <col customWidth="1" min="4" max="9" style="328" width="15.33203125"/>
    <col customWidth="1" min="10" max="10" style="328" width="5.33203125"/>
    <col customWidth="1" min="11" max="11" style="328" width="15.33203125"/>
    <col customWidth="1" min="12" max="12" style="328" width="18.44140625"/>
    <col customWidth="1" min="13" max="16" style="328" width="15.33203125"/>
    <col min="17" max="17" style="328" width="8.88671875"/>
    <col customWidth="1" min="18" max="18" style="328" width="11.88671875"/>
    <col min="19" max="16384" style="328" width="8.88671875"/>
  </cols>
  <sheetData>
    <row r="1" s="329" customFormat="1" ht="34.950000000000003" customHeight="1">
      <c r="A1" s="330" t="s">
        <v>182</v>
      </c>
      <c r="B1" s="331" t="s">
        <v>183</v>
      </c>
      <c r="C1" s="331" t="s">
        <v>184</v>
      </c>
      <c r="D1" s="332" t="s">
        <v>185</v>
      </c>
      <c r="E1" s="332" t="s">
        <v>186</v>
      </c>
      <c r="F1" s="332"/>
      <c r="G1" s="332"/>
      <c r="H1" s="332" t="s">
        <v>136</v>
      </c>
      <c r="I1" s="333" t="s">
        <v>14</v>
      </c>
      <c r="K1" s="334" t="s">
        <v>187</v>
      </c>
      <c r="L1" s="332" t="s">
        <v>188</v>
      </c>
      <c r="M1" s="332"/>
      <c r="N1" s="332"/>
      <c r="O1" s="332" t="s">
        <v>136</v>
      </c>
      <c r="P1" s="333" t="s">
        <v>14</v>
      </c>
    </row>
    <row r="2" s="329" customFormat="1" ht="24.600000000000001" customHeight="1">
      <c r="A2" s="335"/>
      <c r="B2" s="336"/>
      <c r="C2" s="336"/>
      <c r="D2" s="337"/>
      <c r="E2" s="338" t="s">
        <v>189</v>
      </c>
      <c r="F2" s="338" t="s">
        <v>190</v>
      </c>
      <c r="G2" s="338" t="s">
        <v>191</v>
      </c>
      <c r="H2" s="337"/>
      <c r="I2" s="339"/>
      <c r="K2" s="340"/>
      <c r="L2" s="337" t="s">
        <v>192</v>
      </c>
      <c r="M2" s="338" t="s">
        <v>190</v>
      </c>
      <c r="N2" s="338" t="s">
        <v>191</v>
      </c>
      <c r="O2" s="337"/>
      <c r="P2" s="339"/>
    </row>
    <row r="3" s="341" customFormat="1" ht="13.199999999999999">
      <c r="A3" s="342"/>
      <c r="B3" s="343"/>
      <c r="C3" s="343"/>
      <c r="D3" s="344"/>
      <c r="E3" s="344"/>
      <c r="F3" s="344"/>
      <c r="G3" s="344"/>
      <c r="H3" s="344"/>
      <c r="I3" s="345"/>
      <c r="K3" s="342"/>
      <c r="L3" s="346"/>
      <c r="M3" s="344"/>
      <c r="N3" s="344"/>
      <c r="O3" s="344"/>
      <c r="P3" s="345"/>
    </row>
    <row r="4" s="341" customFormat="1" ht="13.199999999999999">
      <c r="A4" s="347" t="s">
        <v>193</v>
      </c>
      <c r="B4" s="348" t="s">
        <v>194</v>
      </c>
      <c r="C4" s="348">
        <v>20</v>
      </c>
      <c r="D4" s="349">
        <f>2.24*57589.1</f>
        <v>128999.584</v>
      </c>
      <c r="E4" s="349">
        <v>88720</v>
      </c>
      <c r="F4" s="349">
        <f>85000/12</f>
        <v>7083.333333333333</v>
      </c>
      <c r="G4" s="349">
        <f>3600/12</f>
        <v>300</v>
      </c>
      <c r="H4" s="349">
        <f>D4-SUM(E4:G4)</f>
        <v>32896.250666666674</v>
      </c>
      <c r="I4" s="350">
        <f>D4/(E4+F4+G4)*100-100</f>
        <v>34.230082896881839</v>
      </c>
      <c r="K4" s="351">
        <f>4.01*57589.1</f>
        <v>230932.29099999997</v>
      </c>
      <c r="L4" s="352">
        <f>88720*1.15</f>
        <v>102027.99999999999</v>
      </c>
      <c r="M4" s="349">
        <f>85000/12</f>
        <v>7083.333333333333</v>
      </c>
      <c r="N4" s="349">
        <f>3600/12</f>
        <v>300</v>
      </c>
      <c r="O4" s="349">
        <f>K4-SUM(L4:N4)</f>
        <v>121520.95766666665</v>
      </c>
      <c r="P4" s="350">
        <f>K4/(L4+M4+N4)*100-100</f>
        <v>111.06797985583458</v>
      </c>
      <c r="R4" s="353">
        <f>E4/(D4-F4-G4)*(K4-M4-N4)</f>
        <v>163080.70192483484</v>
      </c>
    </row>
    <row r="5" s="341" customFormat="1" ht="13.199999999999999">
      <c r="A5" s="354"/>
      <c r="B5" s="355"/>
      <c r="C5" s="355"/>
      <c r="D5" s="356"/>
      <c r="E5" s="356"/>
      <c r="F5" s="356"/>
      <c r="G5" s="356"/>
      <c r="H5" s="356"/>
      <c r="I5" s="357"/>
      <c r="K5" s="358"/>
      <c r="L5" s="359"/>
      <c r="M5" s="356"/>
      <c r="N5" s="356"/>
      <c r="O5" s="356"/>
      <c r="P5" s="357"/>
    </row>
  </sheetData>
  <mergeCells count="11">
    <mergeCell ref="H1:H2"/>
    <mergeCell ref="A1:A2"/>
    <mergeCell ref="B1:B2"/>
    <mergeCell ref="C1:C2"/>
    <mergeCell ref="D1:D2"/>
    <mergeCell ref="E1:G1"/>
    <mergeCell ref="I1:I2"/>
    <mergeCell ref="K1:K2"/>
    <mergeCell ref="L1:N1"/>
    <mergeCell ref="O1:O2"/>
    <mergeCell ref="P1:P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Company>CS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Алексей Сухов</cp:lastModifiedBy>
  <cp:revision>1</cp:revision>
  <dcterms:created xsi:type="dcterms:W3CDTF">2022-01-18T07:32:37Z</dcterms:created>
  <dcterms:modified xsi:type="dcterms:W3CDTF">2022-08-29T08:34:51Z</dcterms:modified>
</cp:coreProperties>
</file>