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Тарифы для ОСС_жилье" sheetId="1" r:id="rId1"/>
    <sheet name="Разъяснения" sheetId="2" r:id="rId2"/>
    <sheet name="Лифты_формула" sheetId="3" state="hidden" r:id="rId3"/>
  </sheets>
  <definedNames>
    <definedName name="\эвфзкудк" hidden="1">#REF!</definedName>
    <definedName name="f" localSheetId="0" hidden="1">#REF!</definedName>
    <definedName name="f" hidden="1">#REF!</definedName>
    <definedName name="limcount" hidden="1">1</definedName>
    <definedName name="Print_Area">#REF!</definedName>
    <definedName name="Z_0885457D_12CF_4923_864D_998BA35CE01D_.wvu.Cols" localSheetId="0" hidden="1">#REF!</definedName>
    <definedName name="Z_0885457D_12CF_4923_864D_998BA35CE01D_.wvu.Cols" hidden="1">#REF!</definedName>
    <definedName name="Z_0885457D_12CF_4923_864D_998BA35CE01D_.wvu.Rows" localSheetId="0" hidden="1">#REF!</definedName>
    <definedName name="Z_0885457D_12CF_4923_864D_998BA35CE01D_.wvu.Rows" hidden="1">#REF!</definedName>
    <definedName name="Z_144EA558_4B8B_4239_858D_3D3B320E64FA_.wvu.Cols" localSheetId="0" hidden="1">#REF!</definedName>
    <definedName name="Z_144EA558_4B8B_4239_858D_3D3B320E64FA_.wvu.Cols" hidden="1">#REF!</definedName>
    <definedName name="Z_144EA558_4B8B_4239_858D_3D3B320E64FA_.wvu.PrintArea" localSheetId="0" hidden="1">#REF!</definedName>
    <definedName name="Z_144EA558_4B8B_4239_858D_3D3B320E64FA_.wvu.PrintArea" hidden="1">#REF!</definedName>
    <definedName name="Z_2D3F4D39_1D20_491A_8BE9_2F4C8E41EE2A_.wvu.Cols" localSheetId="0" hidden="1">#REF!</definedName>
    <definedName name="Z_2D3F4D39_1D20_491A_8BE9_2F4C8E41EE2A_.wvu.Cols" hidden="1">#REF!</definedName>
    <definedName name="А08" localSheetId="0" hidden="1">#REF!</definedName>
    <definedName name="А08" hidden="1">#REF!</definedName>
    <definedName name="ааа" localSheetId="0">#REF!</definedName>
    <definedName name="ааа">#REF!</definedName>
    <definedName name="авг" localSheetId="0" hidden="1">#REF!</definedName>
    <definedName name="авг" hidden="1">#REF!</definedName>
    <definedName name="Август" localSheetId="0" hidden="1">#REF!</definedName>
    <definedName name="Август" hidden="1">#REF!</definedName>
    <definedName name="август13" localSheetId="0" hidden="1">#REF!</definedName>
    <definedName name="август13" hidden="1">#REF!</definedName>
    <definedName name="август2013" localSheetId="0">#REF!</definedName>
    <definedName name="август2013">#REF!</definedName>
    <definedName name="ае6н6" hidden="1">#REF!</definedName>
    <definedName name="аклело" hidden="1">#REF!</definedName>
    <definedName name="апяавп" hidden="1">#REF!</definedName>
    <definedName name="впива">#REF!</definedName>
    <definedName name="ено">#REF!</definedName>
    <definedName name="еуек" hidden="1">#REF!</definedName>
    <definedName name="жадпо" hidden="1">#REF!</definedName>
    <definedName name="жз" hidden="1">#REF!</definedName>
    <definedName name="има" localSheetId="0" hidden="1">#REF!</definedName>
    <definedName name="има" hidden="1">#REF!</definedName>
    <definedName name="ипрне">#REF!</definedName>
    <definedName name="ЙЦУц" hidden="1">#REF!</definedName>
    <definedName name="лазурное" localSheetId="0">#REF!</definedName>
    <definedName name="лазурное">#REF!</definedName>
    <definedName name="лллл" localSheetId="0" hidden="1">#REF!</definedName>
    <definedName name="лллл" hidden="1">#REF!</definedName>
    <definedName name="лог">#REF!</definedName>
    <definedName name="мир" localSheetId="0">#REF!</definedName>
    <definedName name="мир">#REF!</definedName>
    <definedName name="монблан" localSheetId="0" hidden="1">#REF!</definedName>
    <definedName name="монблан" hidden="1">#REF!</definedName>
    <definedName name="о" hidden="1">#REF!</definedName>
    <definedName name="оаош">#REF!</definedName>
    <definedName name="_xlnm.Print_Area" localSheetId="0">'Тарифы для ОСС_жилье'!$A$1:$F$25</definedName>
    <definedName name="ооргшн" hidden="1">#REF!</definedName>
    <definedName name="орш8789" hidden="1">#REF!</definedName>
    <definedName name="ппп" localSheetId="0">#REF!</definedName>
    <definedName name="ппп">#REF!</definedName>
    <definedName name="пулковская">#REF!</definedName>
    <definedName name="фуыку" hidden="1">#REF!</definedName>
    <definedName name="фя\кк" hidden="1">#REF!</definedName>
    <definedName name="х_265" localSheetId="0" hidden="1">#REF!</definedName>
    <definedName name="х_265" hidden="1">#REF!</definedName>
    <definedName name="хзщзш" hidden="1">#REF!</definedName>
    <definedName name="цквв">#REF!</definedName>
    <definedName name="щзэ" hidden="1">#REF!</definedName>
    <definedName name="эжзд">#REF!</definedName>
    <definedName name="юз" localSheetId="0" hidden="1">#REF!</definedName>
    <definedName name="юз" hidden="1">#REF!</definedName>
  </definedNames>
  <calcPr calcId="145621" refMode="R1C1"/>
</workbook>
</file>

<file path=xl/calcChain.xml><?xml version="1.0" encoding="utf-8"?>
<calcChain xmlns="http://schemas.openxmlformats.org/spreadsheetml/2006/main">
  <c r="E26" i="3" l="1"/>
  <c r="E25" i="3"/>
  <c r="E24" i="3"/>
  <c r="E16" i="3"/>
  <c r="E17" i="3" s="1"/>
  <c r="E30" i="3" s="1"/>
  <c r="E32" i="3" s="1"/>
  <c r="E15" i="3"/>
  <c r="B7" i="3"/>
  <c r="C40" i="2"/>
  <c r="C36" i="2"/>
  <c r="C35" i="2"/>
  <c r="C34" i="2"/>
  <c r="C33" i="2"/>
  <c r="C32" i="2"/>
  <c r="C30" i="2"/>
  <c r="C29" i="2"/>
  <c r="C28" i="2"/>
  <c r="C37" i="2" s="1"/>
  <c r="M11" i="2" s="1"/>
  <c r="D21" i="2"/>
  <c r="C21" i="2"/>
  <c r="B21" i="2"/>
  <c r="E21" i="2" s="1"/>
  <c r="B20" i="2"/>
  <c r="E20" i="2" s="1"/>
  <c r="L15" i="2"/>
  <c r="K15" i="2"/>
  <c r="F15" i="2"/>
  <c r="E15" i="2"/>
  <c r="L13" i="2"/>
  <c r="K13" i="2"/>
  <c r="E13" i="2"/>
  <c r="G13" i="2" s="1"/>
  <c r="H13" i="2" s="1"/>
  <c r="I13" i="2" s="1"/>
  <c r="L12" i="2"/>
  <c r="K12" i="2"/>
  <c r="G12" i="2"/>
  <c r="E12" i="2"/>
  <c r="H12" i="2" s="1"/>
  <c r="I12" i="2" s="1"/>
  <c r="L11" i="2"/>
  <c r="K11" i="2"/>
  <c r="J11" i="2"/>
  <c r="H11" i="2"/>
  <c r="I11" i="2" s="1"/>
  <c r="E11" i="2"/>
  <c r="B6" i="2"/>
  <c r="C41" i="2" s="1"/>
  <c r="C42" i="2" s="1"/>
  <c r="M15" i="2" s="1"/>
  <c r="G27" i="1"/>
  <c r="F27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E10" i="1"/>
  <c r="D10" i="1"/>
  <c r="F20" i="2" l="1"/>
  <c r="G20" i="2" s="1"/>
  <c r="F21" i="2"/>
  <c r="N11" i="2"/>
  <c r="G15" i="2"/>
  <c r="H15" i="2" s="1"/>
  <c r="N15" i="2" l="1"/>
  <c r="I15" i="2"/>
  <c r="H21" i="2"/>
  <c r="P11" i="2"/>
  <c r="O11" i="2"/>
  <c r="Q11" i="2" s="1"/>
  <c r="H20" i="2"/>
  <c r="G21" i="2"/>
  <c r="T11" i="2" l="1"/>
  <c r="S11" i="2"/>
  <c r="O15" i="2"/>
  <c r="P15" i="2" s="1"/>
  <c r="K20" i="2"/>
  <c r="J20" i="2"/>
  <c r="K21" i="2"/>
  <c r="J21" i="2"/>
  <c r="Q15" i="2" l="1"/>
  <c r="T15" i="2" l="1"/>
  <c r="S15" i="2"/>
</calcChain>
</file>

<file path=xl/sharedStrings.xml><?xml version="1.0" encoding="utf-8"?>
<sst xmlns="http://schemas.openxmlformats.org/spreadsheetml/2006/main" count="138" uniqueCount="100">
  <si>
    <t>Общество с ограниченной ответственностью</t>
  </si>
  <si>
    <t>«УК «Космо Сервис Монблан»</t>
  </si>
  <si>
    <t>ПРЕЙСКУРАНТ</t>
  </si>
  <si>
    <t xml:space="preserve"> ТАРИФОВ И ЦЕН НА УСЛУГИ И РАБОТЫ</t>
  </si>
  <si>
    <t>для владельцев жилых помещений дома по адресу: пр. Энергетиков дом 9 корпус 3</t>
  </si>
  <si>
    <t xml:space="preserve"> Площадь- 37415,20</t>
  </si>
  <si>
    <t>Наименование</t>
  </si>
  <si>
    <t>Ед. измерения (в месяц)</t>
  </si>
  <si>
    <t>Тариф действующий</t>
  </si>
  <si>
    <t>Тариф новый</t>
  </si>
  <si>
    <t>Отклонение, руб./м2</t>
  </si>
  <si>
    <t>Отклонение, %</t>
  </si>
  <si>
    <t>I</t>
  </si>
  <si>
    <t>Содержание и ремонт жилого помещения</t>
  </si>
  <si>
    <t>Содержание общего имущества многоквартирного домa</t>
  </si>
  <si>
    <t>руб. /кв.м</t>
  </si>
  <si>
    <t>Текущий ремонт общего имущества многоквартирного домa</t>
  </si>
  <si>
    <t>Уборка мест общего пользования</t>
  </si>
  <si>
    <t>Санитарное содержание придомовой территории</t>
  </si>
  <si>
    <t>Сервисное обслуживание системы контроля управления доступом и видеонаблюдения</t>
  </si>
  <si>
    <t>Сервисное обслуживание  переговорно - замочного устройства</t>
  </si>
  <si>
    <t xml:space="preserve">Сервисное обслуживание систем автоматической противопожарной защиты </t>
  </si>
  <si>
    <t>Эксплуатация коллективных приборов учета электрической энергии</t>
  </si>
  <si>
    <t>Эксплуатация коллективных приборов учета тепловой энергии и горячей воды, оборудования ИТП</t>
  </si>
  <si>
    <t>Эксплуатация коллективных приборов учета холодной воды</t>
  </si>
  <si>
    <t>Сервисное обслуживание, освидетельствование, страхование  лифтов</t>
  </si>
  <si>
    <t>Управление многоквартирным домом</t>
  </si>
  <si>
    <t>Аварийно-диспетчерская служба</t>
  </si>
  <si>
    <t>Вознаграждение за организацию предоставления и оплаты коммунальных услуг</t>
  </si>
  <si>
    <t>Сервисное обслуживание системы очистки горячей воды</t>
  </si>
  <si>
    <t>Обслуживание системы коллективного приёма телевидения</t>
  </si>
  <si>
    <t>руб. /отвод</t>
  </si>
  <si>
    <t>Дистанционный сбор, хранение, передача, обработка показаний индивидуальных приборов учета холодной и горячей воды, электроэнергии, тепловой энергии/распределителей</t>
  </si>
  <si>
    <t>руб. /квартира</t>
  </si>
  <si>
    <t xml:space="preserve"> для 1 комн. кв. -189
для 2 комн. кв.- 199
для 3 комн. кв.- 209
для 4 комн. кв.- 219</t>
  </si>
  <si>
    <t>Площадь:</t>
  </si>
  <si>
    <t>жилье</t>
  </si>
  <si>
    <t>нежилье</t>
  </si>
  <si>
    <t>паркинг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</si>
  <si>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</si>
  <si>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</si>
  <si>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</si>
  <si>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</si>
  <si>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</si>
  <si>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</si>
  <si>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</si>
  <si>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</si>
  <si>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</si>
  <si>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</si>
  <si>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</si>
  <si>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</si>
  <si>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</si>
  <si>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</si>
  <si>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</si>
  <si>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</si>
  <si>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</si>
  <si>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</si>
  <si>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Содержание общего имущества</t>
  </si>
  <si>
    <t>Управляющий</t>
  </si>
  <si>
    <t>Инженер по эксплуатации</t>
  </si>
  <si>
    <t>Техник по эксплуатации</t>
  </si>
  <si>
    <t>Диспетчер</t>
  </si>
  <si>
    <t>Сумма по договору с клининговой компанией, руб.</t>
  </si>
  <si>
    <t xml:space="preserve">Мат-лы для озеленения и весенней покраски, руб. </t>
  </si>
  <si>
    <t>Услуги мех.уборки и вывоза снега, руб.</t>
  </si>
  <si>
    <t>Расходы итого, руб.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</si>
  <si>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</si>
  <si>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</si>
  <si>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</si>
  <si>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</si>
  <si>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 xml:space="preserve">Транспортные расходы </t>
  </si>
  <si>
    <t>Обслуживание насосных станций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</si>
  <si>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</si>
  <si>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</si>
  <si>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Услуги по перезарядке огнетушителей, доукомплектации пожарных шкафов</t>
  </si>
  <si>
    <t>Страхование гражданской ответственности</t>
  </si>
  <si>
    <t>Праздничные украшения, мероприятия, подарки сотрудникам</t>
  </si>
  <si>
    <t>Итого расходы</t>
  </si>
  <si>
    <t>Расходы на услуги связи объектов</t>
  </si>
  <si>
    <t>Услуги экстренного вызова охранных предприятий</t>
  </si>
  <si>
    <t>Услуги на аварийное обслуживание внутренних инженерных сетей</t>
  </si>
  <si>
    <t>Распоряжение Комитета по тарифам СПб № 145-р от 29.11.2021 (с 01.01.2022 по 30.06.2022)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</si>
  <si>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</si>
  <si>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</si>
  <si>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</si>
  <si>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</si>
  <si>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</si>
  <si>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</si>
  <si>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</si>
  <si>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</si>
  <si>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</si>
  <si>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Лифты грузопассажирские - грузоподъемность 1000 кг, этажность 21</t>
  </si>
  <si>
    <t>Базовая ставка, руб./лифт</t>
  </si>
  <si>
    <t>Коф-т</t>
  </si>
  <si>
    <t xml:space="preserve">Кол-во лифтов в доме </t>
  </si>
  <si>
    <t>Этажность</t>
  </si>
  <si>
    <t>Тех.обслуживание лифтов, включая ежегодное страхование, диагностику, руб.</t>
  </si>
  <si>
    <t>Лифты пассажирские - грузоподъемность 400 кг, этажность 21</t>
  </si>
  <si>
    <t>Итого стоимость обслуживания лифтов, страхование, диагностика, руб.</t>
  </si>
  <si>
    <t>Тариф, руб./м2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</si>
</sst>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_);_(* \(#,##0\);_(* &quot;-&quot;_);_(@_)"/>
  </numFmts>
  <fonts count="40" x14ac:knownFonts="1">
    <font>
      <sz val="10"/>
      <color theme="1"/>
      <name val="Arial"/>
    </font>
    <font>
      <sz val="11"/>
      <color theme="1"/>
      <name val="Calibri"/>
      <scheme val="minor"/>
    </font>
    <font>
      <sz val="10"/>
      <name val="Arial Cyr"/>
    </font>
    <font>
      <sz val="10"/>
      <color indexed="64"/>
      <name val="Arial Cyr"/>
    </font>
    <font>
      <sz val="10"/>
      <name val="Arial"/>
    </font>
    <font>
      <sz val="11"/>
      <color indexed="64"/>
      <name val="Calibri"/>
    </font>
    <font>
      <sz val="11"/>
      <name val="Calibri"/>
    </font>
    <font>
      <sz val="11"/>
      <color indexed="65"/>
      <name val="Calibri"/>
    </font>
    <font>
      <b/>
      <sz val="14"/>
      <name val="Times New Roman"/>
    </font>
    <font>
      <b/>
      <i/>
      <sz val="14"/>
      <color indexed="64"/>
      <name val="Arial"/>
    </font>
    <font>
      <b/>
      <i/>
      <sz val="16"/>
      <name val="Calibri"/>
    </font>
    <font>
      <b/>
      <i/>
      <sz val="16"/>
      <color indexed="64"/>
      <name val="Arial"/>
    </font>
    <font>
      <sz val="14"/>
      <name val="Arial"/>
    </font>
    <font>
      <b/>
      <i/>
      <sz val="10"/>
      <color indexed="65"/>
      <name val="Arial"/>
    </font>
    <font>
      <b/>
      <i/>
      <sz val="10"/>
      <color indexed="64"/>
      <name val="Arial"/>
    </font>
    <font>
      <b/>
      <i/>
      <sz val="12"/>
      <color indexed="64"/>
      <name val="Arial"/>
    </font>
    <font>
      <b/>
      <i/>
      <sz val="14"/>
      <name val="Arial"/>
    </font>
    <font>
      <b/>
      <i/>
      <sz val="12"/>
      <color indexed="64"/>
      <name val="Times New Roman"/>
    </font>
    <font>
      <sz val="11"/>
      <color indexed="64"/>
      <name val="Arial"/>
    </font>
    <font>
      <i/>
      <sz val="11"/>
      <color indexed="64"/>
      <name val="Arial"/>
    </font>
    <font>
      <i/>
      <sz val="11"/>
      <name val="Arial"/>
    </font>
    <font>
      <b/>
      <i/>
      <sz val="9"/>
      <color indexed="64"/>
      <name val="Arial"/>
    </font>
    <font>
      <sz val="11"/>
      <name val="Arial"/>
    </font>
    <font>
      <sz val="11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1"/>
      <color theme="1"/>
      <name val="Times New Roman"/>
    </font>
    <font>
      <sz val="9"/>
      <name val="Calibri"/>
      <scheme val="minor"/>
    </font>
    <font>
      <b/>
      <sz val="9"/>
      <name val="Times New Roman"/>
    </font>
    <font>
      <sz val="9"/>
      <name val="Times New Roman"/>
    </font>
    <font>
      <sz val="9"/>
      <color indexed="2"/>
      <name val="Times New Roman"/>
    </font>
    <font>
      <b/>
      <sz val="9"/>
      <name val="Calibri"/>
      <scheme val="minor"/>
    </font>
    <font>
      <sz val="11"/>
      <name val="Calibri"/>
      <scheme val="minor"/>
    </font>
    <font>
      <sz val="11"/>
      <name val="Times New Roman"/>
    </font>
    <font>
      <sz val="9"/>
      <color theme="1"/>
      <name val="Calibri"/>
      <scheme val="minor"/>
    </font>
    <font>
      <sz val="10"/>
      <name val="Times New Roman"/>
    </font>
    <font>
      <b/>
      <sz val="10"/>
      <name val="Times New Roman"/>
    </font>
    <font>
      <sz val="10"/>
      <color indexed="64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5"/>
        <bgColor indexed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theme="7" tint="0.79998168889431442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  <xf numFmtId="164" fontId="2" fillId="0" borderId="0" applyFont="0" applyFill="0" applyBorder="0" applyProtection="0"/>
  </cellStyleXfs>
  <cellXfs count="186">
    <xf numFmtId="0" fontId="0" fillId="0" borderId="0" xfId="0"/>
    <xf numFmtId="0" fontId="5" fillId="0" borderId="0" xfId="10" applyFont="1"/>
    <xf numFmtId="0" fontId="6" fillId="0" borderId="0" xfId="10" applyFont="1" applyAlignment="1">
      <alignment vertical="center"/>
    </xf>
    <xf numFmtId="0" fontId="6" fillId="0" borderId="0" xfId="10" applyFont="1"/>
    <xf numFmtId="0" fontId="7" fillId="0" borderId="0" xfId="10" applyFont="1"/>
    <xf numFmtId="0" fontId="5" fillId="0" borderId="0" xfId="10" applyFont="1" applyAlignment="1">
      <alignment horizontal="centerContinuous"/>
    </xf>
    <xf numFmtId="0" fontId="8" fillId="0" borderId="0" xfId="10" applyFont="1" applyAlignment="1">
      <alignment horizontal="left"/>
    </xf>
    <xf numFmtId="0" fontId="13" fillId="0" borderId="0" xfId="10" applyFont="1" applyAlignment="1">
      <alignment horizontal="right"/>
    </xf>
    <xf numFmtId="4" fontId="6" fillId="0" borderId="0" xfId="10" applyNumberFormat="1" applyFont="1" applyAlignment="1">
      <alignment vertical="center"/>
    </xf>
    <xf numFmtId="0" fontId="14" fillId="0" borderId="1" xfId="10" applyFont="1" applyBorder="1" applyAlignment="1">
      <alignment horizontal="center" wrapText="1"/>
    </xf>
    <xf numFmtId="0" fontId="15" fillId="0" borderId="1" xfId="10" applyFont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left" vertical="center" wrapText="1"/>
    </xf>
    <xf numFmtId="4" fontId="16" fillId="2" borderId="1" xfId="10" applyNumberFormat="1" applyFont="1" applyFill="1" applyBorder="1" applyAlignment="1">
      <alignment horizontal="center" vertical="center" wrapText="1"/>
    </xf>
    <xf numFmtId="0" fontId="17" fillId="0" borderId="2" xfId="10" applyFont="1" applyBorder="1" applyAlignment="1">
      <alignment horizontal="center" wrapText="1"/>
    </xf>
    <xf numFmtId="0" fontId="18" fillId="0" borderId="1" xfId="10" applyFont="1" applyBorder="1" applyAlignment="1">
      <alignment vertical="center" wrapText="1"/>
    </xf>
    <xf numFmtId="0" fontId="19" fillId="0" borderId="2" xfId="10" applyFont="1" applyBorder="1" applyAlignment="1">
      <alignment horizontal="center" vertical="center" wrapText="1"/>
    </xf>
    <xf numFmtId="2" fontId="20" fillId="3" borderId="1" xfId="10" applyNumberFormat="1" applyFont="1" applyFill="1" applyBorder="1" applyAlignment="1">
      <alignment horizontal="center" vertical="center" wrapText="1"/>
    </xf>
    <xf numFmtId="0" fontId="21" fillId="0" borderId="1" xfId="10" applyFont="1" applyBorder="1" applyAlignment="1">
      <alignment horizontal="center" wrapText="1"/>
    </xf>
    <xf numFmtId="2" fontId="20" fillId="3" borderId="2" xfId="10" applyNumberFormat="1" applyFont="1" applyFill="1" applyBorder="1" applyAlignment="1">
      <alignment horizontal="center" vertical="center" wrapText="1"/>
    </xf>
    <xf numFmtId="0" fontId="17" fillId="0" borderId="1" xfId="10" applyFont="1" applyBorder="1" applyAlignment="1">
      <alignment horizontal="center" wrapText="1"/>
    </xf>
    <xf numFmtId="2" fontId="20" fillId="4" borderId="2" xfId="10" applyNumberFormat="1" applyFont="1" applyFill="1" applyBorder="1" applyAlignment="1">
      <alignment horizontal="center" vertical="center" wrapText="1"/>
    </xf>
    <xf numFmtId="0" fontId="18" fillId="0" borderId="1" xfId="10" applyFont="1" applyBorder="1" applyAlignment="1">
      <alignment horizontal="left" vertical="center" wrapText="1"/>
    </xf>
    <xf numFmtId="2" fontId="20" fillId="0" borderId="2" xfId="10" applyNumberFormat="1" applyFont="1" applyBorder="1" applyAlignment="1">
      <alignment horizontal="center" vertical="center" wrapText="1"/>
    </xf>
    <xf numFmtId="0" fontId="19" fillId="0" borderId="1" xfId="10" applyFont="1" applyBorder="1" applyAlignment="1">
      <alignment horizontal="center" vertical="center" wrapText="1"/>
    </xf>
    <xf numFmtId="2" fontId="20" fillId="0" borderId="1" xfId="10" applyNumberFormat="1" applyFont="1" applyBorder="1" applyAlignment="1">
      <alignment horizontal="center" vertical="center" wrapText="1"/>
    </xf>
    <xf numFmtId="0" fontId="22" fillId="0" borderId="1" xfId="10" applyFont="1" applyBorder="1" applyAlignment="1">
      <alignment horizontal="left" vertical="center" wrapText="1"/>
    </xf>
    <xf numFmtId="2" fontId="20" fillId="4" borderId="1" xfId="10" applyNumberFormat="1" applyFont="1" applyFill="1" applyBorder="1" applyAlignment="1">
      <alignment horizontal="center" vertical="center" wrapText="1"/>
    </xf>
    <xf numFmtId="2" fontId="19" fillId="0" borderId="1" xfId="10" applyNumberFormat="1" applyFont="1" applyBorder="1" applyAlignment="1">
      <alignment horizontal="center" vertical="center" wrapText="1"/>
    </xf>
    <xf numFmtId="0" fontId="1" fillId="0" borderId="0" xfId="1" applyFont="1"/>
    <xf numFmtId="0" fontId="23" fillId="0" borderId="0" xfId="1" applyFont="1"/>
    <xf numFmtId="0" fontId="24" fillId="0" borderId="0" xfId="1" applyFont="1"/>
    <xf numFmtId="0" fontId="25" fillId="0" borderId="0" xfId="1" applyFont="1" applyAlignment="1">
      <alignment horizontal="center" vertical="center" wrapText="1"/>
    </xf>
    <xf numFmtId="0" fontId="25" fillId="0" borderId="0" xfId="1" applyFont="1"/>
    <xf numFmtId="4" fontId="25" fillId="0" borderId="0" xfId="1" applyNumberFormat="1" applyFont="1" applyAlignment="1">
      <alignment horizontal="left"/>
    </xf>
    <xf numFmtId="4" fontId="25" fillId="0" borderId="0" xfId="1" applyNumberFormat="1" applyFont="1"/>
    <xf numFmtId="4" fontId="24" fillId="0" borderId="0" xfId="1" applyNumberFormat="1" applyFont="1" applyAlignment="1">
      <alignment horizontal="left"/>
    </xf>
    <xf numFmtId="0" fontId="26" fillId="0" borderId="0" xfId="1" applyFont="1"/>
    <xf numFmtId="4" fontId="27" fillId="0" borderId="0" xfId="1" applyNumberFormat="1" applyFont="1"/>
    <xf numFmtId="3" fontId="26" fillId="0" borderId="0" xfId="1" applyNumberFormat="1" applyFont="1"/>
    <xf numFmtId="0" fontId="28" fillId="0" borderId="0" xfId="1" applyFont="1"/>
    <xf numFmtId="0" fontId="29" fillId="0" borderId="0" xfId="9" applyFont="1"/>
    <xf numFmtId="0" fontId="30" fillId="0" borderId="3" xfId="9" applyFont="1" applyBorder="1" applyAlignment="1">
      <alignment horizontal="center" vertical="center" wrapText="1"/>
    </xf>
    <xf numFmtId="0" fontId="30" fillId="0" borderId="4" xfId="9" applyFont="1" applyBorder="1" applyAlignment="1">
      <alignment horizontal="center" vertical="center"/>
    </xf>
    <xf numFmtId="3" fontId="30" fillId="0" borderId="4" xfId="9" applyNumberFormat="1" applyFont="1" applyBorder="1" applyAlignment="1">
      <alignment horizontal="center" vertical="center" wrapText="1"/>
    </xf>
    <xf numFmtId="3" fontId="30" fillId="5" borderId="4" xfId="9" applyNumberFormat="1" applyFont="1" applyFill="1" applyBorder="1" applyAlignment="1">
      <alignment horizontal="center" vertical="center" wrapText="1"/>
    </xf>
    <xf numFmtId="3" fontId="30" fillId="0" borderId="5" xfId="9" applyNumberFormat="1" applyFont="1" applyBorder="1" applyAlignment="1">
      <alignment horizontal="center" vertical="center" wrapText="1"/>
    </xf>
    <xf numFmtId="0" fontId="31" fillId="0" borderId="0" xfId="9" applyFont="1"/>
    <xf numFmtId="3" fontId="31" fillId="0" borderId="6" xfId="9" applyNumberFormat="1" applyFont="1" applyBorder="1" applyAlignment="1">
      <alignment horizontal="center"/>
    </xf>
    <xf numFmtId="3" fontId="31" fillId="0" borderId="7" xfId="9" applyNumberFormat="1" applyFont="1" applyBorder="1" applyAlignment="1">
      <alignment horizontal="center"/>
    </xf>
    <xf numFmtId="4" fontId="31" fillId="5" borderId="7" xfId="9" applyNumberFormat="1" applyFont="1" applyFill="1" applyBorder="1" applyAlignment="1">
      <alignment horizontal="center"/>
    </xf>
    <xf numFmtId="4" fontId="31" fillId="0" borderId="7" xfId="9" applyNumberFormat="1" applyFont="1" applyBorder="1" applyAlignment="1">
      <alignment horizontal="center"/>
    </xf>
    <xf numFmtId="4" fontId="31" fillId="0" borderId="8" xfId="9" applyNumberFormat="1" applyFont="1" applyBorder="1" applyAlignment="1">
      <alignment horizontal="center"/>
    </xf>
    <xf numFmtId="0" fontId="29" fillId="0" borderId="0" xfId="9" applyFont="1" applyAlignment="1">
      <alignment vertical="center"/>
    </xf>
    <xf numFmtId="3" fontId="31" fillId="0" borderId="10" xfId="9" applyNumberFormat="1" applyFont="1" applyBorder="1" applyAlignment="1">
      <alignment horizontal="center" vertical="center"/>
    </xf>
    <xf numFmtId="0" fontId="31" fillId="0" borderId="0" xfId="9" applyFont="1" applyAlignment="1">
      <alignment vertical="center"/>
    </xf>
    <xf numFmtId="3" fontId="31" fillId="0" borderId="14" xfId="9" applyNumberFormat="1" applyFont="1" applyBorder="1" applyAlignment="1">
      <alignment horizontal="center" vertical="center"/>
    </xf>
    <xf numFmtId="3" fontId="31" fillId="0" borderId="7" xfId="9" applyNumberFormat="1" applyFont="1" applyBorder="1" applyAlignment="1">
      <alignment horizontal="center" vertical="center"/>
    </xf>
    <xf numFmtId="4" fontId="31" fillId="5" borderId="7" xfId="9" applyNumberFormat="1" applyFont="1" applyFill="1" applyBorder="1" applyAlignment="1">
      <alignment horizontal="center" vertical="center"/>
    </xf>
    <xf numFmtId="4" fontId="31" fillId="0" borderId="7" xfId="9" applyNumberFormat="1" applyFont="1" applyBorder="1" applyAlignment="1">
      <alignment horizontal="center" vertical="center"/>
    </xf>
    <xf numFmtId="4" fontId="31" fillId="0" borderId="8" xfId="9" applyNumberFormat="1" applyFont="1" applyBorder="1" applyAlignment="1">
      <alignment horizontal="center" vertical="center"/>
    </xf>
    <xf numFmtId="3" fontId="31" fillId="0" borderId="16" xfId="9" applyNumberFormat="1" applyFont="1" applyBorder="1" applyAlignment="1">
      <alignment horizontal="center" vertical="center"/>
    </xf>
    <xf numFmtId="3" fontId="31" fillId="0" borderId="6" xfId="9" applyNumberFormat="1" applyFont="1" applyBorder="1" applyAlignment="1">
      <alignment horizontal="center" vertical="center" wrapText="1"/>
    </xf>
    <xf numFmtId="3" fontId="32" fillId="0" borderId="7" xfId="9" applyNumberFormat="1" applyFont="1" applyBorder="1" applyAlignment="1">
      <alignment horizontal="center"/>
    </xf>
    <xf numFmtId="3" fontId="31" fillId="0" borderId="19" xfId="9" applyNumberFormat="1" applyFont="1" applyBorder="1" applyAlignment="1">
      <alignment horizontal="center" vertical="center"/>
    </xf>
    <xf numFmtId="4" fontId="31" fillId="5" borderId="19" xfId="9" applyNumberFormat="1" applyFont="1" applyFill="1" applyBorder="1" applyAlignment="1">
      <alignment horizontal="center" vertical="center"/>
    </xf>
    <xf numFmtId="4" fontId="31" fillId="0" borderId="19" xfId="9" applyNumberFormat="1" applyFont="1" applyBorder="1" applyAlignment="1">
      <alignment horizontal="center" vertical="center"/>
    </xf>
    <xf numFmtId="4" fontId="31" fillId="0" borderId="20" xfId="9" applyNumberFormat="1" applyFont="1" applyBorder="1" applyAlignment="1">
      <alignment horizontal="center" vertical="center"/>
    </xf>
    <xf numFmtId="0" fontId="33" fillId="0" borderId="0" xfId="9" applyFont="1"/>
    <xf numFmtId="3" fontId="30" fillId="0" borderId="15" xfId="9" applyNumberFormat="1" applyFont="1" applyBorder="1" applyAlignment="1">
      <alignment horizontal="center"/>
    </xf>
    <xf numFmtId="3" fontId="30" fillId="0" borderId="16" xfId="9" applyNumberFormat="1" applyFont="1" applyBorder="1" applyAlignment="1">
      <alignment horizontal="center"/>
    </xf>
    <xf numFmtId="4" fontId="30" fillId="5" borderId="16" xfId="9" applyNumberFormat="1" applyFont="1" applyFill="1" applyBorder="1" applyAlignment="1">
      <alignment horizontal="center"/>
    </xf>
    <xf numFmtId="4" fontId="30" fillId="0" borderId="16" xfId="9" applyNumberFormat="1" applyFont="1" applyBorder="1" applyAlignment="1">
      <alignment horizontal="center"/>
    </xf>
    <xf numFmtId="4" fontId="30" fillId="0" borderId="21" xfId="9" applyNumberFormat="1" applyFont="1" applyBorder="1" applyAlignment="1">
      <alignment horizontal="center"/>
    </xf>
    <xf numFmtId="0" fontId="30" fillId="0" borderId="0" xfId="9" applyFont="1"/>
    <xf numFmtId="0" fontId="34" fillId="0" borderId="0" xfId="1" applyFont="1"/>
    <xf numFmtId="0" fontId="35" fillId="0" borderId="0" xfId="1" applyFont="1"/>
    <xf numFmtId="0" fontId="30" fillId="0" borderId="4" xfId="9" applyFont="1" applyBorder="1" applyAlignment="1">
      <alignment horizontal="center" vertical="center" wrapText="1"/>
    </xf>
    <xf numFmtId="0" fontId="30" fillId="5" borderId="4" xfId="9" applyFont="1" applyFill="1" applyBorder="1" applyAlignment="1">
      <alignment horizontal="center" vertical="center" wrapText="1"/>
    </xf>
    <xf numFmtId="0" fontId="30" fillId="0" borderId="5" xfId="9" applyFont="1" applyBorder="1" applyAlignment="1">
      <alignment horizontal="center" vertical="center" wrapText="1"/>
    </xf>
    <xf numFmtId="3" fontId="31" fillId="0" borderId="9" xfId="9" applyNumberFormat="1" applyFont="1" applyBorder="1" applyAlignment="1">
      <alignment horizontal="center"/>
    </xf>
    <xf numFmtId="3" fontId="31" fillId="0" borderId="10" xfId="9" applyNumberFormat="1" applyFont="1" applyBorder="1" applyAlignment="1">
      <alignment horizontal="center"/>
    </xf>
    <xf numFmtId="3" fontId="31" fillId="0" borderId="22" xfId="9" applyNumberFormat="1" applyFont="1" applyBorder="1" applyAlignment="1">
      <alignment horizontal="center"/>
    </xf>
    <xf numFmtId="2" fontId="31" fillId="5" borderId="10" xfId="9" applyNumberFormat="1" applyFont="1" applyFill="1" applyBorder="1"/>
    <xf numFmtId="0" fontId="31" fillId="5" borderId="10" xfId="9" applyFont="1" applyFill="1" applyBorder="1"/>
    <xf numFmtId="2" fontId="31" fillId="0" borderId="10" xfId="9" applyNumberFormat="1" applyFont="1" applyBorder="1"/>
    <xf numFmtId="2" fontId="31" fillId="0" borderId="22" xfId="9" applyNumberFormat="1" applyFont="1" applyBorder="1"/>
    <xf numFmtId="3" fontId="31" fillId="0" borderId="13" xfId="9" applyNumberFormat="1" applyFont="1" applyBorder="1" applyAlignment="1">
      <alignment vertical="center" wrapText="1"/>
    </xf>
    <xf numFmtId="3" fontId="31" fillId="0" borderId="14" xfId="9" applyNumberFormat="1" applyFont="1" applyBorder="1" applyAlignment="1">
      <alignment horizontal="center"/>
    </xf>
    <xf numFmtId="3" fontId="31" fillId="0" borderId="20" xfId="9" applyNumberFormat="1" applyFont="1" applyBorder="1" applyAlignment="1">
      <alignment horizontal="center" vertical="center"/>
    </xf>
    <xf numFmtId="2" fontId="31" fillId="5" borderId="23" xfId="9" applyNumberFormat="1" applyFont="1" applyFill="1" applyBorder="1" applyAlignment="1">
      <alignment horizontal="center" vertical="center"/>
    </xf>
    <xf numFmtId="2" fontId="31" fillId="5" borderId="19" xfId="9" applyNumberFormat="1" applyFont="1" applyFill="1" applyBorder="1" applyAlignment="1">
      <alignment horizontal="center" vertical="center"/>
    </xf>
    <xf numFmtId="2" fontId="31" fillId="0" borderId="19" xfId="9" applyNumberFormat="1" applyFont="1" applyBorder="1" applyAlignment="1">
      <alignment horizontal="center" vertical="center"/>
    </xf>
    <xf numFmtId="2" fontId="31" fillId="0" borderId="20" xfId="9" applyNumberFormat="1" applyFont="1" applyBorder="1" applyAlignment="1">
      <alignment horizontal="center" vertical="center"/>
    </xf>
    <xf numFmtId="3" fontId="31" fillId="0" borderId="23" xfId="9" applyNumberFormat="1" applyFont="1" applyBorder="1" applyAlignment="1">
      <alignment vertical="center" wrapText="1"/>
    </xf>
    <xf numFmtId="3" fontId="31" fillId="0" borderId="24" xfId="9" applyNumberFormat="1" applyFont="1" applyBorder="1" applyAlignment="1">
      <alignment horizontal="center" vertical="center"/>
    </xf>
    <xf numFmtId="2" fontId="31" fillId="5" borderId="14" xfId="9" applyNumberFormat="1" applyFont="1" applyFill="1" applyBorder="1" applyAlignment="1">
      <alignment horizontal="center" vertical="center"/>
    </xf>
    <xf numFmtId="3" fontId="31" fillId="0" borderId="15" xfId="9" applyNumberFormat="1" applyFont="1" applyBorder="1" applyAlignment="1">
      <alignment vertical="center" wrapText="1"/>
    </xf>
    <xf numFmtId="3" fontId="31" fillId="0" borderId="16" xfId="9" applyNumberFormat="1" applyFont="1" applyBorder="1" applyAlignment="1">
      <alignment horizontal="center"/>
    </xf>
    <xf numFmtId="3" fontId="31" fillId="0" borderId="21" xfId="9" applyNumberFormat="1" applyFont="1" applyBorder="1" applyAlignment="1">
      <alignment horizontal="center" vertical="center"/>
    </xf>
    <xf numFmtId="0" fontId="31" fillId="5" borderId="16" xfId="9" applyFont="1" applyFill="1" applyBorder="1"/>
    <xf numFmtId="0" fontId="31" fillId="0" borderId="16" xfId="9" applyFont="1" applyBorder="1"/>
    <xf numFmtId="0" fontId="31" fillId="0" borderId="21" xfId="9" applyFont="1" applyBorder="1"/>
    <xf numFmtId="3" fontId="31" fillId="0" borderId="0" xfId="9" applyNumberFormat="1" applyFont="1" applyAlignment="1">
      <alignment vertical="center" wrapText="1"/>
    </xf>
    <xf numFmtId="3" fontId="31" fillId="0" borderId="0" xfId="9" applyNumberFormat="1" applyFont="1" applyAlignment="1">
      <alignment horizontal="center"/>
    </xf>
    <xf numFmtId="3" fontId="31" fillId="0" borderId="0" xfId="9" applyNumberFormat="1" applyFont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 wrapText="1"/>
    </xf>
    <xf numFmtId="0" fontId="29" fillId="0" borderId="0" xfId="1" applyFont="1"/>
    <xf numFmtId="2" fontId="31" fillId="0" borderId="28" xfId="9" applyNumberFormat="1" applyFont="1" applyBorder="1" applyAlignment="1">
      <alignment horizontal="left" vertical="center" wrapText="1"/>
    </xf>
    <xf numFmtId="165" fontId="31" fillId="0" borderId="29" xfId="9" applyNumberFormat="1" applyFont="1" applyBorder="1" applyAlignment="1">
      <alignment horizontal="center" vertical="center" wrapText="1"/>
    </xf>
    <xf numFmtId="0" fontId="31" fillId="0" borderId="0" xfId="1" applyFont="1"/>
    <xf numFmtId="2" fontId="31" fillId="0" borderId="30" xfId="9" applyNumberFormat="1" applyFont="1" applyBorder="1" applyAlignment="1">
      <alignment horizontal="left" vertical="center" wrapText="1"/>
    </xf>
    <xf numFmtId="165" fontId="31" fillId="0" borderId="31" xfId="9" applyNumberFormat="1" applyFont="1" applyBorder="1" applyAlignment="1">
      <alignment horizontal="center" vertical="center" wrapText="1"/>
    </xf>
    <xf numFmtId="0" fontId="36" fillId="0" borderId="0" xfId="1" applyFont="1"/>
    <xf numFmtId="2" fontId="31" fillId="0" borderId="32" xfId="9" applyNumberFormat="1" applyFont="1" applyBorder="1" applyAlignment="1">
      <alignment horizontal="left" vertical="center" wrapText="1"/>
    </xf>
    <xf numFmtId="165" fontId="31" fillId="0" borderId="33" xfId="9" applyNumberFormat="1" applyFont="1" applyBorder="1" applyAlignment="1">
      <alignment horizontal="center" vertical="center" wrapText="1"/>
    </xf>
    <xf numFmtId="2" fontId="30" fillId="0" borderId="25" xfId="9" applyNumberFormat="1" applyFont="1" applyBorder="1" applyAlignment="1">
      <alignment horizontal="left" vertical="center" wrapText="1"/>
    </xf>
    <xf numFmtId="165" fontId="30" fillId="0" borderId="1" xfId="9" applyNumberFormat="1" applyFont="1" applyBorder="1" applyAlignment="1">
      <alignment horizontal="center" vertical="center" wrapText="1"/>
    </xf>
    <xf numFmtId="2" fontId="31" fillId="0" borderId="34" xfId="9" applyNumberFormat="1" applyFont="1" applyBorder="1" applyAlignment="1">
      <alignment horizontal="left" vertical="center" wrapText="1"/>
    </xf>
    <xf numFmtId="165" fontId="31" fillId="0" borderId="26" xfId="9" applyNumberFormat="1" applyFont="1" applyBorder="1" applyAlignment="1">
      <alignment horizontal="center" vertical="center" wrapText="1"/>
    </xf>
    <xf numFmtId="0" fontId="27" fillId="0" borderId="0" xfId="1" applyFont="1"/>
    <xf numFmtId="4" fontId="26" fillId="0" borderId="0" xfId="1" applyNumberFormat="1" applyFont="1"/>
    <xf numFmtId="0" fontId="26" fillId="0" borderId="0" xfId="1" applyFont="1" applyAlignment="1">
      <alignment horizontal="center"/>
    </xf>
    <xf numFmtId="0" fontId="26" fillId="0" borderId="3" xfId="1" applyFont="1" applyBorder="1"/>
    <xf numFmtId="0" fontId="37" fillId="0" borderId="4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6" fillId="0" borderId="36" xfId="1" applyFont="1" applyBorder="1"/>
    <xf numFmtId="0" fontId="37" fillId="0" borderId="37" xfId="1" applyFont="1" applyBorder="1"/>
    <xf numFmtId="0" fontId="26" fillId="0" borderId="37" xfId="1" applyFont="1" applyBorder="1"/>
    <xf numFmtId="0" fontId="26" fillId="0" borderId="38" xfId="1" applyFont="1" applyBorder="1"/>
    <xf numFmtId="0" fontId="26" fillId="0" borderId="15" xfId="1" applyFont="1" applyBorder="1"/>
    <xf numFmtId="0" fontId="37" fillId="0" borderId="16" xfId="1" applyFont="1" applyBorder="1"/>
    <xf numFmtId="0" fontId="26" fillId="0" borderId="16" xfId="1" applyFont="1" applyBorder="1"/>
    <xf numFmtId="0" fontId="26" fillId="0" borderId="21" xfId="1" applyFont="1" applyBorder="1"/>
    <xf numFmtId="0" fontId="37" fillId="0" borderId="0" xfId="8" applyFont="1"/>
    <xf numFmtId="2" fontId="38" fillId="0" borderId="0" xfId="8" applyNumberFormat="1" applyFont="1"/>
    <xf numFmtId="2" fontId="37" fillId="0" borderId="0" xfId="8" applyNumberFormat="1" applyFont="1"/>
    <xf numFmtId="0" fontId="37" fillId="0" borderId="22" xfId="8" applyFont="1" applyBorder="1"/>
    <xf numFmtId="0" fontId="37" fillId="0" borderId="24" xfId="8" applyFont="1" applyBorder="1"/>
    <xf numFmtId="4" fontId="37" fillId="0" borderId="0" xfId="8" applyNumberFormat="1" applyFont="1"/>
    <xf numFmtId="0" fontId="37" fillId="0" borderId="0" xfId="8" applyFont="1" applyAlignment="1">
      <alignment horizontal="right"/>
    </xf>
    <xf numFmtId="0" fontId="37" fillId="0" borderId="21" xfId="8" applyFont="1" applyBorder="1"/>
    <xf numFmtId="0" fontId="37" fillId="6" borderId="3" xfId="8" applyFont="1" applyFill="1" applyBorder="1"/>
    <xf numFmtId="0" fontId="37" fillId="6" borderId="4" xfId="8" applyFont="1" applyFill="1" applyBorder="1"/>
    <xf numFmtId="4" fontId="37" fillId="6" borderId="5" xfId="8" applyNumberFormat="1" applyFont="1" applyFill="1" applyBorder="1"/>
    <xf numFmtId="9" fontId="38" fillId="0" borderId="0" xfId="8" applyNumberFormat="1" applyFont="1"/>
    <xf numFmtId="0" fontId="37" fillId="0" borderId="0" xfId="5" applyFont="1"/>
    <xf numFmtId="4" fontId="38" fillId="0" borderId="0" xfId="8" applyNumberFormat="1" applyFont="1"/>
    <xf numFmtId="0" fontId="38" fillId="0" borderId="0" xfId="5" applyFont="1"/>
    <xf numFmtId="0" fontId="37" fillId="0" borderId="0" xfId="5" applyFont="1" applyAlignment="1">
      <alignment horizontal="center"/>
    </xf>
    <xf numFmtId="0" fontId="39" fillId="0" borderId="0" xfId="4" applyFont="1"/>
    <xf numFmtId="0" fontId="38" fillId="0" borderId="0" xfId="8" applyFont="1"/>
    <xf numFmtId="0" fontId="9" fillId="0" borderId="0" xfId="1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1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1" fillId="0" borderId="9" xfId="9" applyNumberFormat="1" applyFont="1" applyBorder="1" applyAlignment="1">
      <alignment horizontal="center" vertical="center" wrapText="1"/>
    </xf>
    <xf numFmtId="3" fontId="31" fillId="0" borderId="13" xfId="9" applyNumberFormat="1" applyFont="1" applyBorder="1" applyAlignment="1">
      <alignment horizontal="center" vertical="center" wrapText="1"/>
    </xf>
    <xf numFmtId="3" fontId="31" fillId="0" borderId="15" xfId="9" applyNumberFormat="1" applyFont="1" applyBorder="1" applyAlignment="1">
      <alignment horizontal="center" vertical="center" wrapText="1"/>
    </xf>
    <xf numFmtId="3" fontId="31" fillId="0" borderId="11" xfId="9" applyNumberFormat="1" applyFont="1" applyBorder="1" applyAlignment="1">
      <alignment horizontal="center" vertical="center"/>
    </xf>
    <xf numFmtId="3" fontId="31" fillId="0" borderId="7" xfId="9" applyNumberFormat="1" applyFont="1" applyBorder="1" applyAlignment="1">
      <alignment horizontal="center" vertical="center"/>
    </xf>
    <xf numFmtId="3" fontId="31" fillId="0" borderId="17" xfId="9" applyNumberFormat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 wrapText="1"/>
    </xf>
    <xf numFmtId="0" fontId="30" fillId="0" borderId="26" xfId="1" applyFont="1" applyBorder="1" applyAlignment="1">
      <alignment horizontal="center" vertical="center" wrapText="1"/>
    </xf>
    <xf numFmtId="0" fontId="30" fillId="0" borderId="35" xfId="1" applyFont="1" applyBorder="1" applyAlignment="1">
      <alignment horizontal="center" vertical="center" wrapText="1"/>
    </xf>
    <xf numFmtId="0" fontId="30" fillId="0" borderId="25" xfId="1" applyFont="1" applyBorder="1" applyAlignment="1">
      <alignment horizontal="center" vertical="center"/>
    </xf>
    <xf numFmtId="0" fontId="30" fillId="0" borderId="27" xfId="1" applyFont="1" applyBorder="1" applyAlignment="1">
      <alignment horizontal="center" vertical="center"/>
    </xf>
    <xf numFmtId="4" fontId="31" fillId="0" borderId="12" xfId="9" applyNumberFormat="1" applyFont="1" applyBorder="1" applyAlignment="1">
      <alignment horizontal="center" vertical="center"/>
    </xf>
    <xf numFmtId="4" fontId="31" fillId="0" borderId="8" xfId="9" applyNumberFormat="1" applyFont="1" applyBorder="1" applyAlignment="1">
      <alignment horizontal="center" vertical="center"/>
    </xf>
    <xf numFmtId="4" fontId="31" fillId="0" borderId="18" xfId="9" applyNumberFormat="1" applyFont="1" applyBorder="1" applyAlignment="1">
      <alignment horizontal="center" vertical="center"/>
    </xf>
    <xf numFmtId="4" fontId="31" fillId="5" borderId="11" xfId="9" applyNumberFormat="1" applyFont="1" applyFill="1" applyBorder="1" applyAlignment="1">
      <alignment horizontal="center" vertical="center"/>
    </xf>
    <xf numFmtId="4" fontId="31" fillId="5" borderId="7" xfId="9" applyNumberFormat="1" applyFont="1" applyFill="1" applyBorder="1" applyAlignment="1">
      <alignment horizontal="center" vertical="center"/>
    </xf>
    <xf numFmtId="4" fontId="31" fillId="5" borderId="17" xfId="9" applyNumberFormat="1" applyFont="1" applyFill="1" applyBorder="1" applyAlignment="1">
      <alignment horizontal="center" vertical="center"/>
    </xf>
    <xf numFmtId="4" fontId="31" fillId="0" borderId="11" xfId="9" applyNumberFormat="1" applyFont="1" applyBorder="1" applyAlignment="1">
      <alignment horizontal="center" vertical="center"/>
    </xf>
    <xf numFmtId="4" fontId="31" fillId="0" borderId="7" xfId="9" applyNumberFormat="1" applyFont="1" applyBorder="1" applyAlignment="1">
      <alignment horizontal="center" vertical="center"/>
    </xf>
    <xf numFmtId="4" fontId="31" fillId="0" borderId="17" xfId="9" applyNumberFormat="1" applyFont="1" applyBorder="1" applyAlignment="1">
      <alignment horizontal="center" vertical="center"/>
    </xf>
    <xf numFmtId="0" fontId="37" fillId="0" borderId="9" xfId="8" applyFont="1" applyBorder="1" applyAlignment="1">
      <alignment horizontal="left" wrapText="1"/>
    </xf>
    <xf numFmtId="0" fontId="37" fillId="0" borderId="10" xfId="8" applyFont="1" applyBorder="1" applyAlignment="1">
      <alignment horizontal="left" wrapText="1"/>
    </xf>
    <xf numFmtId="0" fontId="37" fillId="0" borderId="13" xfId="8" applyFont="1" applyBorder="1" applyAlignment="1">
      <alignment horizontal="left" wrapText="1"/>
    </xf>
    <xf numFmtId="0" fontId="37" fillId="0" borderId="14" xfId="8" applyFont="1" applyBorder="1" applyAlignment="1">
      <alignment horizontal="left" wrapText="1"/>
    </xf>
    <xf numFmtId="0" fontId="37" fillId="0" borderId="15" xfId="8" applyFont="1" applyBorder="1" applyAlignment="1">
      <alignment horizontal="left" wrapText="1"/>
    </xf>
    <xf numFmtId="0" fontId="37" fillId="0" borderId="16" xfId="8" applyFont="1" applyBorder="1" applyAlignment="1">
      <alignment horizontal="left" wrapText="1"/>
    </xf>
  </cellXfs>
  <cellStyles count="12">
    <cellStyle name="Обычный" xfId="0" builtinId="0"/>
    <cellStyle name="Обычный 11 2" xfId="1"/>
    <cellStyle name="Обычный 2" xfId="2"/>
    <cellStyle name="Обычный 2 2" xfId="3"/>
    <cellStyle name="Обычный 2 2 3 2" xfId="4"/>
    <cellStyle name="Обычный 3 3" xfId="5"/>
    <cellStyle name="Обычный 4" xfId="6"/>
    <cellStyle name="Обычный 90 2" xfId="7"/>
    <cellStyle name="Обычный_5_А_2007_ЮЖНОЕ_N_ДР_АКТЫ" xfId="8"/>
    <cellStyle name="Обычный_бюджет 2008 (11.02.08) на утверждение 2" xfId="9"/>
    <cellStyle name="Обычный_тарифы город=факт" xfId="10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28"/>
  <sheetViews>
    <sheetView tabSelected="1" zoomScale="60" workbookViewId="0">
      <selection activeCell="M13" sqref="M13"/>
    </sheetView>
  </sheetViews>
  <sheetFormatPr defaultColWidth="4.7109375" defaultRowHeight="15" x14ac:dyDescent="0.25"/>
  <cols>
    <col min="1" max="1" width="6.5703125" style="1" customWidth="1"/>
    <col min="2" max="2" width="77.7109375" style="1" customWidth="1"/>
    <col min="3" max="3" width="17.7109375" style="1" customWidth="1"/>
    <col min="4" max="4" width="24.28515625" style="2" customWidth="1"/>
    <col min="5" max="5" width="24.28515625" style="3" customWidth="1"/>
    <col min="6" max="7" width="24.28515625" style="4" customWidth="1"/>
    <col min="8" max="8" width="10.42578125" style="4" customWidth="1"/>
    <col min="9" max="248" width="10.28515625" style="1" customWidth="1"/>
    <col min="249" max="16384" width="4.7109375" style="1"/>
  </cols>
  <sheetData>
    <row r="1" spans="1:248" s="4" customFormat="1" ht="18.75" x14ac:dyDescent="0.3">
      <c r="A1" s="5"/>
      <c r="D1" s="3"/>
      <c r="F1" s="6"/>
    </row>
    <row r="2" spans="1:248" s="4" customFormat="1" ht="18.75" x14ac:dyDescent="0.3">
      <c r="A2" s="5"/>
      <c r="D2" s="3"/>
      <c r="F2" s="6"/>
    </row>
    <row r="3" spans="1:248" s="4" customFormat="1" ht="18.75" x14ac:dyDescent="0.3">
      <c r="A3" s="5"/>
      <c r="B3" s="155" t="s">
        <v>0</v>
      </c>
      <c r="C3" s="155"/>
      <c r="D3" s="155"/>
      <c r="E3" s="155"/>
      <c r="F3" s="155"/>
    </row>
    <row r="4" spans="1:248" s="4" customFormat="1" ht="21" x14ac:dyDescent="0.25">
      <c r="A4" s="5"/>
      <c r="B4" s="156" t="s">
        <v>1</v>
      </c>
      <c r="C4" s="156"/>
      <c r="D4" s="156"/>
      <c r="E4" s="156"/>
      <c r="F4" s="156"/>
    </row>
    <row r="5" spans="1:248" s="4" customFormat="1" ht="20.25" x14ac:dyDescent="0.3">
      <c r="A5" s="5"/>
      <c r="B5" s="157" t="s">
        <v>2</v>
      </c>
      <c r="C5" s="157"/>
      <c r="D5" s="157"/>
      <c r="E5" s="157"/>
      <c r="F5" s="157"/>
    </row>
    <row r="6" spans="1:248" s="4" customFormat="1" ht="20.25" x14ac:dyDescent="0.3">
      <c r="A6" s="5"/>
      <c r="B6" s="157" t="s">
        <v>3</v>
      </c>
      <c r="C6" s="157"/>
      <c r="D6" s="157"/>
      <c r="E6" s="157"/>
      <c r="F6" s="157"/>
    </row>
    <row r="7" spans="1:248" s="4" customFormat="1" ht="26.1" customHeight="1" x14ac:dyDescent="0.3">
      <c r="A7" s="5"/>
      <c r="B7" s="155" t="s">
        <v>4</v>
      </c>
      <c r="C7" s="158"/>
      <c r="D7" s="158"/>
      <c r="E7" s="159"/>
      <c r="F7" s="159"/>
    </row>
    <row r="8" spans="1:248" s="4" customFormat="1" x14ac:dyDescent="0.25">
      <c r="A8" s="1"/>
      <c r="B8" s="7" t="s">
        <v>5</v>
      </c>
      <c r="C8" s="4">
        <v>37415.199999999997</v>
      </c>
      <c r="D8" s="8"/>
      <c r="E8" s="3"/>
    </row>
    <row r="9" spans="1:248" s="4" customFormat="1" ht="49.5" customHeight="1" x14ac:dyDescent="0.25">
      <c r="A9" s="9"/>
      <c r="B9" s="10" t="s">
        <v>6</v>
      </c>
      <c r="C9" s="10" t="s">
        <v>7</v>
      </c>
      <c r="D9" s="10" t="s">
        <v>8</v>
      </c>
      <c r="E9" s="10" t="s">
        <v>9</v>
      </c>
      <c r="F9" s="10" t="s">
        <v>10</v>
      </c>
      <c r="G9" s="10" t="s">
        <v>11</v>
      </c>
    </row>
    <row r="10" spans="1:248" s="4" customFormat="1" ht="35.65" customHeight="1" x14ac:dyDescent="0.25">
      <c r="A10" s="11" t="s">
        <v>12</v>
      </c>
      <c r="B10" s="12" t="s">
        <v>13</v>
      </c>
      <c r="C10" s="11"/>
      <c r="D10" s="13">
        <f>SUM(D11:D25)</f>
        <v>35.25</v>
      </c>
      <c r="E10" s="13">
        <f>SUM(E11:E25)</f>
        <v>38.730000000000011</v>
      </c>
      <c r="F10" s="13">
        <f t="shared" ref="F10:F27" si="0">E10-D10</f>
        <v>3.4800000000000111</v>
      </c>
      <c r="G10" s="13">
        <f t="shared" ref="G10:G27" si="1">E10/D10*100-100</f>
        <v>9.8723404255319593</v>
      </c>
    </row>
    <row r="11" spans="1:248" s="4" customFormat="1" ht="40.9" customHeight="1" x14ac:dyDescent="0.25">
      <c r="A11" s="14"/>
      <c r="B11" s="15" t="s">
        <v>14</v>
      </c>
      <c r="C11" s="16" t="s">
        <v>15</v>
      </c>
      <c r="D11" s="17">
        <v>5.63</v>
      </c>
      <c r="E11" s="17">
        <v>9.58</v>
      </c>
      <c r="F11" s="17">
        <f t="shared" si="0"/>
        <v>3.95</v>
      </c>
      <c r="G11" s="17">
        <f t="shared" si="1"/>
        <v>70.159857904085243</v>
      </c>
      <c r="I11" s="3"/>
    </row>
    <row r="12" spans="1:248" s="4" customFormat="1" ht="40.9" customHeight="1" x14ac:dyDescent="0.25">
      <c r="A12" s="18"/>
      <c r="B12" s="15" t="s">
        <v>16</v>
      </c>
      <c r="C12" s="16" t="s">
        <v>15</v>
      </c>
      <c r="D12" s="19">
        <v>6.31</v>
      </c>
      <c r="E12" s="19">
        <v>6.33</v>
      </c>
      <c r="F12" s="19">
        <f t="shared" si="0"/>
        <v>2.0000000000000462E-2</v>
      </c>
      <c r="G12" s="19">
        <f t="shared" si="1"/>
        <v>0.31695721077656458</v>
      </c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s="4" customFormat="1" ht="40.9" customHeight="1" x14ac:dyDescent="0.25">
      <c r="A13" s="20"/>
      <c r="B13" s="15" t="s">
        <v>17</v>
      </c>
      <c r="C13" s="16" t="s">
        <v>15</v>
      </c>
      <c r="D13" s="21">
        <v>3.6</v>
      </c>
      <c r="E13" s="21">
        <v>2.58</v>
      </c>
      <c r="F13" s="21">
        <f t="shared" si="0"/>
        <v>-1.02</v>
      </c>
      <c r="G13" s="21">
        <f t="shared" si="1"/>
        <v>-28.333333333333329</v>
      </c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s="4" customFormat="1" ht="40.9" customHeight="1" x14ac:dyDescent="0.25">
      <c r="A14" s="20"/>
      <c r="B14" s="15" t="s">
        <v>18</v>
      </c>
      <c r="C14" s="16" t="s">
        <v>15</v>
      </c>
      <c r="D14" s="19">
        <v>1.91</v>
      </c>
      <c r="E14" s="19">
        <v>3.31</v>
      </c>
      <c r="F14" s="19">
        <f t="shared" si="0"/>
        <v>1.4000000000000001</v>
      </c>
      <c r="G14" s="19">
        <f t="shared" si="1"/>
        <v>73.298429319371735</v>
      </c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s="4" customFormat="1" ht="40.9" customHeight="1" x14ac:dyDescent="0.25">
      <c r="A15" s="20"/>
      <c r="B15" s="22" t="s">
        <v>19</v>
      </c>
      <c r="C15" s="16" t="s">
        <v>15</v>
      </c>
      <c r="D15" s="23">
        <v>0.26</v>
      </c>
      <c r="E15" s="23">
        <v>0.26</v>
      </c>
      <c r="F15" s="23">
        <f t="shared" si="0"/>
        <v>0</v>
      </c>
      <c r="G15" s="23">
        <f t="shared" si="1"/>
        <v>0</v>
      </c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s="4" customFormat="1" ht="40.9" customHeight="1" x14ac:dyDescent="0.25">
      <c r="A16" s="20"/>
      <c r="B16" s="22" t="s">
        <v>20</v>
      </c>
      <c r="C16" s="24" t="s">
        <v>15</v>
      </c>
      <c r="D16" s="25">
        <v>0.34</v>
      </c>
      <c r="E16" s="25">
        <v>0.34</v>
      </c>
      <c r="F16" s="25">
        <f t="shared" si="0"/>
        <v>0</v>
      </c>
      <c r="G16" s="25">
        <f t="shared" si="1"/>
        <v>0</v>
      </c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4" customFormat="1" ht="40.9" customHeight="1" x14ac:dyDescent="0.25">
      <c r="A17" s="20"/>
      <c r="B17" s="15" t="s">
        <v>21</v>
      </c>
      <c r="C17" s="24" t="s">
        <v>15</v>
      </c>
      <c r="D17" s="25">
        <v>0.44</v>
      </c>
      <c r="E17" s="25">
        <v>0.44</v>
      </c>
      <c r="F17" s="25">
        <f t="shared" si="0"/>
        <v>0</v>
      </c>
      <c r="G17" s="25">
        <f t="shared" si="1"/>
        <v>0</v>
      </c>
      <c r="I17" s="3"/>
    </row>
    <row r="18" spans="1:248" s="4" customFormat="1" ht="40.9" customHeight="1" x14ac:dyDescent="0.25">
      <c r="A18" s="20"/>
      <c r="B18" s="15" t="s">
        <v>22</v>
      </c>
      <c r="C18" s="24" t="s">
        <v>15</v>
      </c>
      <c r="D18" s="25">
        <v>7.0000000000000007E-2</v>
      </c>
      <c r="E18" s="25">
        <v>7.0000000000000007E-2</v>
      </c>
      <c r="F18" s="25">
        <f t="shared" si="0"/>
        <v>0</v>
      </c>
      <c r="G18" s="25">
        <f t="shared" si="1"/>
        <v>0</v>
      </c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4" customFormat="1" ht="40.9" customHeight="1" x14ac:dyDescent="0.25">
      <c r="A19" s="20"/>
      <c r="B19" s="15" t="s">
        <v>23</v>
      </c>
      <c r="C19" s="16" t="s">
        <v>15</v>
      </c>
      <c r="D19" s="25">
        <v>0.54</v>
      </c>
      <c r="E19" s="25">
        <v>0.54</v>
      </c>
      <c r="F19" s="25">
        <f t="shared" si="0"/>
        <v>0</v>
      </c>
      <c r="G19" s="25">
        <f t="shared" si="1"/>
        <v>0</v>
      </c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4" customFormat="1" ht="40.9" customHeight="1" x14ac:dyDescent="0.25">
      <c r="A20" s="20"/>
      <c r="B20" s="15" t="s">
        <v>24</v>
      </c>
      <c r="C20" s="16" t="s">
        <v>15</v>
      </c>
      <c r="D20" s="25">
        <v>0.06</v>
      </c>
      <c r="E20" s="25">
        <v>0.06</v>
      </c>
      <c r="F20" s="25">
        <f t="shared" si="0"/>
        <v>0</v>
      </c>
      <c r="G20" s="25">
        <f t="shared" si="1"/>
        <v>0</v>
      </c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4" customFormat="1" ht="40.9" customHeight="1" x14ac:dyDescent="0.25">
      <c r="A21" s="20"/>
      <c r="B21" s="22" t="s">
        <v>25</v>
      </c>
      <c r="C21" s="24" t="s">
        <v>15</v>
      </c>
      <c r="D21" s="17">
        <v>2.97</v>
      </c>
      <c r="E21" s="17">
        <v>3.03</v>
      </c>
      <c r="F21" s="17">
        <f t="shared" si="0"/>
        <v>5.9999999999999609E-2</v>
      </c>
      <c r="G21" s="17">
        <f t="shared" si="1"/>
        <v>2.0202020202020066</v>
      </c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4" customFormat="1" ht="40.9" customHeight="1" x14ac:dyDescent="0.25">
      <c r="A22" s="20"/>
      <c r="B22" s="26" t="s">
        <v>26</v>
      </c>
      <c r="C22" s="24" t="s">
        <v>15</v>
      </c>
      <c r="D22" s="17">
        <v>5</v>
      </c>
      <c r="E22" s="17">
        <v>6</v>
      </c>
      <c r="F22" s="17">
        <f t="shared" si="0"/>
        <v>1</v>
      </c>
      <c r="G22" s="17">
        <f t="shared" si="1"/>
        <v>20</v>
      </c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4" customFormat="1" ht="40.9" customHeight="1" x14ac:dyDescent="0.25">
      <c r="A23" s="20"/>
      <c r="B23" s="15" t="s">
        <v>27</v>
      </c>
      <c r="C23" s="24" t="s">
        <v>15</v>
      </c>
      <c r="D23" s="27">
        <v>7.23</v>
      </c>
      <c r="E23" s="27">
        <v>5.31</v>
      </c>
      <c r="F23" s="27">
        <f t="shared" si="0"/>
        <v>-1.9200000000000008</v>
      </c>
      <c r="G23" s="27">
        <f t="shared" si="1"/>
        <v>-26.556016597510379</v>
      </c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4" customFormat="1" ht="42.6" customHeight="1" x14ac:dyDescent="0.25">
      <c r="A24" s="20"/>
      <c r="B24" s="22" t="s">
        <v>28</v>
      </c>
      <c r="C24" s="24" t="s">
        <v>15</v>
      </c>
      <c r="D24" s="27">
        <v>0.01</v>
      </c>
      <c r="E24" s="27">
        <v>0</v>
      </c>
      <c r="F24" s="27">
        <f t="shared" si="0"/>
        <v>-0.01</v>
      </c>
      <c r="G24" s="27">
        <f t="shared" si="1"/>
        <v>-100</v>
      </c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s="4" customFormat="1" ht="42.6" customHeight="1" x14ac:dyDescent="0.25">
      <c r="A25" s="20"/>
      <c r="B25" s="26" t="s">
        <v>29</v>
      </c>
      <c r="C25" s="24" t="s">
        <v>15</v>
      </c>
      <c r="D25" s="25">
        <v>0.88</v>
      </c>
      <c r="E25" s="25">
        <v>0.88</v>
      </c>
      <c r="F25" s="25">
        <f t="shared" si="0"/>
        <v>0</v>
      </c>
      <c r="G25" s="25">
        <f t="shared" si="1"/>
        <v>0</v>
      </c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ht="23.45" customHeight="1" x14ac:dyDescent="0.25"/>
    <row r="27" spans="1:248" s="4" customFormat="1" ht="42.6" customHeight="1" x14ac:dyDescent="0.25">
      <c r="A27" s="20"/>
      <c r="B27" s="22" t="s">
        <v>30</v>
      </c>
      <c r="C27" s="24" t="s">
        <v>31</v>
      </c>
      <c r="D27" s="17">
        <v>140</v>
      </c>
      <c r="E27" s="17">
        <v>159</v>
      </c>
      <c r="F27" s="17">
        <f t="shared" si="0"/>
        <v>19</v>
      </c>
      <c r="G27" s="17">
        <f t="shared" si="1"/>
        <v>13.571428571428569</v>
      </c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4" customFormat="1" ht="57.6" customHeight="1" x14ac:dyDescent="0.25">
      <c r="A28" s="20"/>
      <c r="B28" s="22" t="s">
        <v>32</v>
      </c>
      <c r="C28" s="24" t="s">
        <v>33</v>
      </c>
      <c r="D28" s="25" t="s">
        <v>34</v>
      </c>
      <c r="E28" s="28" t="s">
        <v>34</v>
      </c>
      <c r="F28" s="25">
        <v>0</v>
      </c>
      <c r="G28" s="25">
        <v>0</v>
      </c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</sheetData>
  <mergeCells count="5">
    <mergeCell ref="B3:F3"/>
    <mergeCell ref="B4:F4"/>
    <mergeCell ref="B5:F5"/>
    <mergeCell ref="B6:F6"/>
    <mergeCell ref="B7:F7"/>
  </mergeCells>
  <pageMargins left="0.59055118110236238" right="0" top="0" bottom="0" header="0" footer="0"/>
  <pageSetup paperSize="9" scale="55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2"/>
  <sheetViews>
    <sheetView topLeftCell="A4" workbookViewId="0">
      <selection activeCell="E13" sqref="E13"/>
    </sheetView>
  </sheetViews>
  <sheetFormatPr defaultColWidth="8.85546875" defaultRowHeight="15" x14ac:dyDescent="0.25"/>
  <cols>
    <col min="1" max="1" width="25.7109375" style="30" customWidth="1"/>
    <col min="2" max="2" width="26.28515625" style="30" customWidth="1"/>
    <col min="3" max="3" width="12.7109375" style="30" customWidth="1"/>
    <col min="4" max="11" width="13.28515625" style="30" customWidth="1"/>
    <col min="12" max="14" width="12" style="30" customWidth="1"/>
    <col min="15" max="15" width="12.7109375" style="30" customWidth="1"/>
    <col min="16" max="16" width="12.85546875" style="30" customWidth="1"/>
    <col min="17" max="18" width="12" style="30" customWidth="1"/>
    <col min="19" max="19" width="11.7109375" style="30" customWidth="1"/>
    <col min="20" max="20" width="13.85546875" style="30" customWidth="1"/>
    <col min="21" max="27" width="8.85546875" style="30"/>
    <col min="28" max="16384" width="8.85546875" style="29"/>
  </cols>
  <sheetData>
    <row r="2" spans="1:27" x14ac:dyDescent="0.25">
      <c r="A2" s="31" t="s">
        <v>35</v>
      </c>
      <c r="B2" s="32"/>
    </row>
    <row r="3" spans="1:27" s="33" customFormat="1" ht="12" x14ac:dyDescent="0.2">
      <c r="A3" s="33" t="s">
        <v>36</v>
      </c>
      <c r="B3" s="34">
        <v>25823.3</v>
      </c>
      <c r="D3" s="32"/>
    </row>
    <row r="4" spans="1:27" s="33" customFormat="1" ht="12" x14ac:dyDescent="0.2">
      <c r="A4" s="33" t="s">
        <v>37</v>
      </c>
      <c r="B4" s="34">
        <v>0</v>
      </c>
      <c r="D4" s="32"/>
    </row>
    <row r="5" spans="1:27" s="33" customFormat="1" ht="12" x14ac:dyDescent="0.2">
      <c r="A5" s="33" t="s">
        <v>38</v>
      </c>
      <c r="B5" s="34">
        <v>0</v>
      </c>
      <c r="D5" s="35"/>
    </row>
    <row r="6" spans="1:27" s="33" customFormat="1" ht="12" x14ac:dyDescent="0.2">
      <c r="B6" s="36">
        <f>SUM(B3:B5)</f>
        <v>25823.3</v>
      </c>
      <c r="D6" s="35"/>
    </row>
    <row r="7" spans="1:27" s="37" customFormat="1" ht="12.75" x14ac:dyDescent="0.2">
      <c r="B7" s="38"/>
      <c r="N7" s="39"/>
    </row>
    <row r="8" spans="1:27" x14ac:dyDescent="0.25">
      <c r="A8" s="40"/>
    </row>
    <row r="9" spans="1:27" s="41" customFormat="1" ht="39" customHeight="1" x14ac:dyDescent="0.2">
      <c r="A9" s="42" t="s">
        <v>39</v>
      </c>
      <c r="B9" s="43" t="s">
        <v>40</v>
      </c>
      <c r="C9" s="43" t="s">
        <v>41</v>
      </c>
      <c r="D9" s="44" t="s">
        <v>42</v>
      </c>
      <c r="E9" s="44" t="s">
        <v>43</v>
      </c>
      <c r="F9" s="44" t="s">
        <v>44</v>
      </c>
      <c r="G9" s="44" t="s">
        <v>45</v>
      </c>
      <c r="H9" s="44" t="s">
        <v>46</v>
      </c>
      <c r="I9" s="44" t="s">
        <v>47</v>
      </c>
      <c r="J9" s="44" t="s">
        <v>48</v>
      </c>
      <c r="K9" s="44" t="s">
        <v>49</v>
      </c>
      <c r="L9" s="44" t="s">
        <v>50</v>
      </c>
      <c r="M9" s="44" t="s">
        <v>51</v>
      </c>
      <c r="N9" s="44" t="s">
        <v>52</v>
      </c>
      <c r="O9" s="44" t="s">
        <v>53</v>
      </c>
      <c r="P9" s="44" t="s">
        <v>54</v>
      </c>
      <c r="Q9" s="45" t="s">
        <v>55</v>
      </c>
      <c r="R9" s="45" t="s">
        <v>56</v>
      </c>
      <c r="S9" s="44" t="s">
        <v>10</v>
      </c>
      <c r="T9" s="46" t="s">
        <v>11</v>
      </c>
      <c r="U9" s="47"/>
      <c r="V9" s="47"/>
      <c r="W9" s="47"/>
      <c r="X9" s="47"/>
      <c r="Y9" s="47"/>
      <c r="Z9" s="47"/>
      <c r="AA9" s="47"/>
    </row>
    <row r="10" spans="1:27" s="41" customFormat="1" ht="12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50"/>
      <c r="S10" s="51"/>
      <c r="T10" s="52"/>
      <c r="U10" s="47"/>
      <c r="V10" s="47"/>
      <c r="W10" s="47"/>
      <c r="X10" s="47"/>
      <c r="Y10" s="47"/>
      <c r="Z10" s="47"/>
      <c r="AA10" s="47"/>
    </row>
    <row r="11" spans="1:27" s="53" customFormat="1" ht="12" customHeight="1" x14ac:dyDescent="0.2">
      <c r="A11" s="160" t="s">
        <v>57</v>
      </c>
      <c r="B11" s="54" t="s">
        <v>58</v>
      </c>
      <c r="C11" s="54">
        <v>1</v>
      </c>
      <c r="D11" s="54">
        <v>39000</v>
      </c>
      <c r="E11" s="54">
        <f t="shared" ref="E11:E15" si="0">C11*D11</f>
        <v>39000</v>
      </c>
      <c r="F11" s="54"/>
      <c r="G11" s="54"/>
      <c r="H11" s="54">
        <f t="shared" ref="H11:H15" si="1">E11+F11+G11</f>
        <v>39000</v>
      </c>
      <c r="I11" s="54">
        <f t="shared" ref="I11:I12" si="2">13890*30.2%+(H11-13890)*15%</f>
        <v>7961.28</v>
      </c>
      <c r="J11" s="163">
        <f>299698/12</f>
        <v>24974.833333333332</v>
      </c>
      <c r="K11" s="54">
        <f>(2032/12)+(2500/24)</f>
        <v>273.5</v>
      </c>
      <c r="L11" s="54">
        <f>(3300+5500+1540)/12</f>
        <v>861.66666666666663</v>
      </c>
      <c r="M11" s="163">
        <f>C37</f>
        <v>49717.972222222226</v>
      </c>
      <c r="N11" s="163">
        <f>H11+H12+H13+I11+I12+I13+J11+K11+K12+K13+L11+L12+L13+M11</f>
        <v>222795.52055555556</v>
      </c>
      <c r="O11" s="163">
        <f>N11*95%*1%</f>
        <v>2116.5574452777778</v>
      </c>
      <c r="P11" s="163">
        <f>(N11+O11)*10%</f>
        <v>22491.207800083335</v>
      </c>
      <c r="Q11" s="174">
        <f>(N11+O11+P11)/B6</f>
        <v>9.5806223759518208</v>
      </c>
      <c r="R11" s="174">
        <v>5.63</v>
      </c>
      <c r="S11" s="177">
        <f>Q11-R11</f>
        <v>3.9506223759518209</v>
      </c>
      <c r="T11" s="171">
        <f>Q11/R11*100-100</f>
        <v>70.170912539108713</v>
      </c>
      <c r="U11" s="55"/>
      <c r="V11" s="55"/>
      <c r="W11" s="55"/>
      <c r="X11" s="55"/>
      <c r="Y11" s="55"/>
      <c r="Z11" s="55"/>
      <c r="AA11" s="55"/>
    </row>
    <row r="12" spans="1:27" s="53" customFormat="1" ht="14.45" customHeight="1" x14ac:dyDescent="0.2">
      <c r="A12" s="161"/>
      <c r="B12" s="56" t="s">
        <v>59</v>
      </c>
      <c r="C12" s="56">
        <v>1</v>
      </c>
      <c r="D12" s="56">
        <v>13300</v>
      </c>
      <c r="E12" s="56">
        <f t="shared" si="0"/>
        <v>13300</v>
      </c>
      <c r="F12" s="56"/>
      <c r="G12" s="56">
        <f t="shared" ref="G12:G15" si="3">E12/12</f>
        <v>1108.3333333333333</v>
      </c>
      <c r="H12" s="56">
        <f t="shared" si="1"/>
        <v>14408.333333333334</v>
      </c>
      <c r="I12" s="56">
        <f t="shared" si="2"/>
        <v>4272.53</v>
      </c>
      <c r="J12" s="164"/>
      <c r="K12" s="56">
        <f>(4202/12)+(4303/24)</f>
        <v>529.45833333333337</v>
      </c>
      <c r="L12" s="56">
        <f>C12*(3300+5700)/12</f>
        <v>750</v>
      </c>
      <c r="M12" s="164"/>
      <c r="N12" s="164"/>
      <c r="O12" s="164"/>
      <c r="P12" s="164"/>
      <c r="Q12" s="175"/>
      <c r="R12" s="175"/>
      <c r="S12" s="178"/>
      <c r="T12" s="172"/>
      <c r="U12" s="55"/>
      <c r="V12" s="55"/>
      <c r="W12" s="55"/>
      <c r="X12" s="55"/>
      <c r="Y12" s="55"/>
      <c r="Z12" s="55"/>
      <c r="AA12" s="55"/>
    </row>
    <row r="13" spans="1:27" s="53" customFormat="1" ht="14.45" customHeight="1" x14ac:dyDescent="0.2">
      <c r="A13" s="162"/>
      <c r="B13" s="61" t="s">
        <v>60</v>
      </c>
      <c r="C13" s="61">
        <v>1</v>
      </c>
      <c r="D13" s="61">
        <v>61750</v>
      </c>
      <c r="E13" s="61">
        <f t="shared" si="0"/>
        <v>61750</v>
      </c>
      <c r="F13" s="61"/>
      <c r="G13" s="61">
        <f t="shared" si="3"/>
        <v>5145.833333333333</v>
      </c>
      <c r="H13" s="61">
        <f t="shared" si="1"/>
        <v>66895.833333333328</v>
      </c>
      <c r="I13" s="61">
        <f>C13*13890*30.2%+(H13-13890*C13)*15%</f>
        <v>12145.654999999999</v>
      </c>
      <c r="J13" s="165"/>
      <c r="K13" s="61">
        <f>C13*((4202/12)+(4303/24))</f>
        <v>529.45833333333337</v>
      </c>
      <c r="L13" s="61">
        <f>C13*5700/12</f>
        <v>475</v>
      </c>
      <c r="M13" s="165"/>
      <c r="N13" s="165"/>
      <c r="O13" s="165"/>
      <c r="P13" s="165"/>
      <c r="Q13" s="176"/>
      <c r="R13" s="176"/>
      <c r="S13" s="179"/>
      <c r="T13" s="173"/>
      <c r="U13" s="55"/>
      <c r="V13" s="55"/>
      <c r="W13" s="55"/>
      <c r="X13" s="55"/>
      <c r="Y13" s="55"/>
      <c r="Z13" s="55"/>
      <c r="AA13" s="55"/>
    </row>
    <row r="14" spans="1:27" s="41" customFormat="1" ht="14.45" customHeight="1" x14ac:dyDescent="0.2">
      <c r="A14" s="62"/>
      <c r="B14" s="49"/>
      <c r="C14" s="49"/>
      <c r="D14" s="63"/>
      <c r="E14" s="49"/>
      <c r="F14" s="49"/>
      <c r="G14" s="49"/>
      <c r="H14" s="49"/>
      <c r="I14" s="49"/>
      <c r="J14" s="57"/>
      <c r="K14" s="49"/>
      <c r="L14" s="49"/>
      <c r="M14" s="57"/>
      <c r="N14" s="57"/>
      <c r="O14" s="57"/>
      <c r="P14" s="57"/>
      <c r="Q14" s="58"/>
      <c r="R14" s="58"/>
      <c r="S14" s="59"/>
      <c r="T14" s="60"/>
      <c r="U14" s="47"/>
      <c r="V14" s="47"/>
      <c r="W14" s="47"/>
      <c r="X14" s="47"/>
      <c r="Y14" s="47"/>
      <c r="Z14" s="47"/>
      <c r="AA14" s="47"/>
    </row>
    <row r="15" spans="1:27" s="53" customFormat="1" ht="14.45" customHeight="1" x14ac:dyDescent="0.2">
      <c r="A15" s="62" t="s">
        <v>27</v>
      </c>
      <c r="B15" s="64" t="s">
        <v>61</v>
      </c>
      <c r="C15" s="64">
        <v>2</v>
      </c>
      <c r="D15" s="64">
        <v>35000</v>
      </c>
      <c r="E15" s="64">
        <f t="shared" si="0"/>
        <v>70000</v>
      </c>
      <c r="F15" s="64">
        <f>30625/12</f>
        <v>2552.0833333333335</v>
      </c>
      <c r="G15" s="64">
        <f t="shared" si="3"/>
        <v>5833.333333333333</v>
      </c>
      <c r="H15" s="64">
        <f t="shared" si="1"/>
        <v>78385.416666666657</v>
      </c>
      <c r="I15" s="64">
        <f>C15*13890*30.2%+(H15-13890*C15)*15%</f>
        <v>15980.372499999998</v>
      </c>
      <c r="J15" s="64">
        <v>4000</v>
      </c>
      <c r="K15" s="64">
        <f>C15*((2076/12)+(2448/24))</f>
        <v>550</v>
      </c>
      <c r="L15" s="64">
        <f>C15*2950/12</f>
        <v>491.66666666666669</v>
      </c>
      <c r="M15" s="64">
        <f>C42</f>
        <v>24108.639999999999</v>
      </c>
      <c r="N15" s="64">
        <f>H15+I15+J15+K15+L15+M15</f>
        <v>123516.09583333333</v>
      </c>
      <c r="O15" s="64">
        <f>N15*95%*1%</f>
        <v>1173.4029104166666</v>
      </c>
      <c r="P15" s="64">
        <f>(N15+O15)*10%</f>
        <v>12468.949874375001</v>
      </c>
      <c r="Q15" s="65">
        <f>(N15+O15+P15)/B6</f>
        <v>5.3114221891905755</v>
      </c>
      <c r="R15" s="65">
        <v>7.23</v>
      </c>
      <c r="S15" s="66">
        <f>Q15-R15</f>
        <v>-1.9185778108094249</v>
      </c>
      <c r="T15" s="67">
        <f>Q15/R15*100-100-0.04</f>
        <v>-26.576345930974064</v>
      </c>
      <c r="U15" s="55"/>
      <c r="V15" s="55"/>
      <c r="W15" s="55"/>
      <c r="X15" s="55"/>
      <c r="Y15" s="55"/>
      <c r="Z15" s="55"/>
      <c r="AA15" s="55"/>
    </row>
    <row r="16" spans="1:27" s="68" customFormat="1" ht="12" x14ac:dyDescent="0.2">
      <c r="A16" s="69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71"/>
      <c r="S16" s="72"/>
      <c r="T16" s="73"/>
      <c r="U16" s="74"/>
      <c r="V16" s="74"/>
      <c r="W16" s="74"/>
      <c r="X16" s="74"/>
      <c r="Y16" s="74"/>
      <c r="Z16" s="74"/>
      <c r="AA16" s="74"/>
    </row>
    <row r="17" spans="1:27" s="75" customFormat="1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7" s="41" customFormat="1" ht="58.15" customHeight="1" x14ac:dyDescent="0.2">
      <c r="A18" s="42" t="s">
        <v>39</v>
      </c>
      <c r="B18" s="77" t="s">
        <v>62</v>
      </c>
      <c r="C18" s="44" t="s">
        <v>63</v>
      </c>
      <c r="D18" s="44" t="s">
        <v>64</v>
      </c>
      <c r="E18" s="44" t="s">
        <v>65</v>
      </c>
      <c r="F18" s="44" t="s">
        <v>53</v>
      </c>
      <c r="G18" s="46" t="s">
        <v>54</v>
      </c>
      <c r="H18" s="78" t="s">
        <v>55</v>
      </c>
      <c r="I18" s="78" t="s">
        <v>56</v>
      </c>
      <c r="J18" s="77" t="s">
        <v>10</v>
      </c>
      <c r="K18" s="79" t="s">
        <v>11</v>
      </c>
      <c r="L18" s="47"/>
      <c r="M18" s="47"/>
      <c r="N18" s="47"/>
      <c r="O18" s="47"/>
      <c r="P18" s="47"/>
      <c r="Q18" s="47"/>
      <c r="R18" s="47"/>
    </row>
    <row r="19" spans="1:27" s="41" customFormat="1" ht="12" customHeight="1" x14ac:dyDescent="0.2">
      <c r="A19" s="80"/>
      <c r="B19" s="81"/>
      <c r="C19" s="81"/>
      <c r="D19" s="81"/>
      <c r="E19" s="81"/>
      <c r="F19" s="81"/>
      <c r="G19" s="82"/>
      <c r="H19" s="83"/>
      <c r="I19" s="84"/>
      <c r="J19" s="85"/>
      <c r="K19" s="86"/>
      <c r="L19" s="47"/>
      <c r="M19" s="47"/>
      <c r="N19" s="47"/>
      <c r="O19" s="47"/>
      <c r="P19" s="47"/>
      <c r="Q19" s="47"/>
      <c r="R19" s="47"/>
    </row>
    <row r="20" spans="1:27" s="41" customFormat="1" ht="12" customHeight="1" x14ac:dyDescent="0.2">
      <c r="A20" s="87" t="s">
        <v>17</v>
      </c>
      <c r="B20" s="88">
        <f t="shared" ref="B20:B21" si="4">60000*1</f>
        <v>60000</v>
      </c>
      <c r="C20" s="88"/>
      <c r="D20" s="88"/>
      <c r="E20" s="64">
        <f t="shared" ref="E20:E21" si="5">B20+C20+D20</f>
        <v>60000</v>
      </c>
      <c r="F20" s="64">
        <f t="shared" ref="F20:F21" si="6">E20*95%*1%</f>
        <v>570</v>
      </c>
      <c r="G20" s="89">
        <f t="shared" ref="G20:G21" si="7">(E20+F20)*10%</f>
        <v>6057</v>
      </c>
      <c r="H20" s="90">
        <f>(E20+F20+G20)/B6</f>
        <v>2.5801117595349936</v>
      </c>
      <c r="I20" s="91">
        <v>3.6</v>
      </c>
      <c r="J20" s="92">
        <f t="shared" ref="J20:J21" si="8">H20-I20</f>
        <v>-1.0198882404650065</v>
      </c>
      <c r="K20" s="93">
        <f t="shared" ref="K20:K21" si="9">H20/I20*100-100</f>
        <v>-28.330228901805725</v>
      </c>
      <c r="L20" s="47"/>
      <c r="M20" s="47"/>
      <c r="N20" s="47"/>
      <c r="O20" s="47"/>
      <c r="P20" s="47"/>
      <c r="Q20" s="47"/>
      <c r="R20" s="47"/>
    </row>
    <row r="21" spans="1:27" s="41" customFormat="1" ht="12" customHeight="1" x14ac:dyDescent="0.2">
      <c r="A21" s="94" t="s">
        <v>18</v>
      </c>
      <c r="B21" s="64">
        <f t="shared" si="4"/>
        <v>60000</v>
      </c>
      <c r="C21" s="64">
        <f>75000/12</f>
        <v>6250</v>
      </c>
      <c r="D21" s="64">
        <f>130000/12</f>
        <v>10833.333333333334</v>
      </c>
      <c r="E21" s="56">
        <f t="shared" si="5"/>
        <v>77083.333333333328</v>
      </c>
      <c r="F21" s="56">
        <f t="shared" si="6"/>
        <v>732.29166666666663</v>
      </c>
      <c r="G21" s="95">
        <f t="shared" si="7"/>
        <v>7781.5625</v>
      </c>
      <c r="H21" s="96">
        <f>(E21+F21+G21)/B6</f>
        <v>3.3147269132914849</v>
      </c>
      <c r="I21" s="96">
        <v>1.91</v>
      </c>
      <c r="J21" s="92">
        <f t="shared" si="8"/>
        <v>1.404726913291485</v>
      </c>
      <c r="K21" s="93">
        <f t="shared" si="9"/>
        <v>73.545911690653668</v>
      </c>
      <c r="L21" s="55"/>
      <c r="M21" s="47"/>
      <c r="N21" s="47"/>
      <c r="O21" s="47"/>
      <c r="P21" s="47"/>
      <c r="Q21" s="47"/>
      <c r="R21" s="47"/>
    </row>
    <row r="22" spans="1:27" s="41" customFormat="1" ht="12" customHeight="1" x14ac:dyDescent="0.2">
      <c r="A22" s="97"/>
      <c r="B22" s="98"/>
      <c r="C22" s="98"/>
      <c r="D22" s="98"/>
      <c r="E22" s="98"/>
      <c r="F22" s="61"/>
      <c r="G22" s="99"/>
      <c r="H22" s="100"/>
      <c r="I22" s="100"/>
      <c r="J22" s="101"/>
      <c r="K22" s="102"/>
      <c r="L22" s="47"/>
      <c r="M22" s="47"/>
      <c r="N22" s="47"/>
      <c r="O22" s="47"/>
      <c r="P22" s="47"/>
      <c r="Q22" s="47"/>
      <c r="R22" s="47"/>
    </row>
    <row r="23" spans="1:27" s="41" customFormat="1" ht="12" customHeight="1" x14ac:dyDescent="0.2">
      <c r="A23" s="103"/>
      <c r="B23" s="104"/>
      <c r="C23" s="105"/>
      <c r="D23" s="105"/>
      <c r="F23" s="47"/>
      <c r="G23" s="104"/>
      <c r="H23" s="104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27" s="75" customFormat="1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</row>
    <row r="25" spans="1:27" s="75" customFormat="1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1:27" s="75" customFormat="1" ht="37.9" customHeight="1" x14ac:dyDescent="0.25">
      <c r="A26" s="166" t="s">
        <v>66</v>
      </c>
      <c r="B26" s="106" t="s">
        <v>39</v>
      </c>
      <c r="C26" s="107" t="s">
        <v>67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27" s="75" customFormat="1" ht="31.15" customHeight="1" x14ac:dyDescent="0.25">
      <c r="A27" s="167"/>
      <c r="B27" s="169" t="s">
        <v>57</v>
      </c>
      <c r="C27" s="170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s="108" customFormat="1" ht="25.15" customHeight="1" x14ac:dyDescent="0.2">
      <c r="A28" s="167"/>
      <c r="B28" s="109" t="s">
        <v>68</v>
      </c>
      <c r="C28" s="110">
        <f>15349/12</f>
        <v>1279.0833333333333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</row>
    <row r="29" spans="1:27" s="108" customFormat="1" ht="25.15" customHeight="1" x14ac:dyDescent="0.2">
      <c r="A29" s="167"/>
      <c r="B29" s="112" t="s">
        <v>69</v>
      </c>
      <c r="C29" s="113">
        <f>96000/12</f>
        <v>8000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</row>
    <row r="30" spans="1:27" s="108" customFormat="1" ht="25.15" customHeight="1" x14ac:dyDescent="0.2">
      <c r="A30" s="167"/>
      <c r="B30" s="112" t="s">
        <v>70</v>
      </c>
      <c r="C30" s="113">
        <f>6000/12</f>
        <v>500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</row>
    <row r="31" spans="1:27" s="108" customFormat="1" ht="26.45" customHeight="1" x14ac:dyDescent="0.2">
      <c r="A31" s="167"/>
      <c r="B31" s="112" t="s">
        <v>71</v>
      </c>
      <c r="C31" s="113">
        <v>4000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</row>
    <row r="32" spans="1:27" s="114" customFormat="1" ht="60" x14ac:dyDescent="0.2">
      <c r="A32" s="167"/>
      <c r="B32" s="112" t="s">
        <v>72</v>
      </c>
      <c r="C32" s="113">
        <f>147600/12</f>
        <v>12300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9" s="114" customFormat="1" ht="36" x14ac:dyDescent="0.2">
      <c r="A33" s="167"/>
      <c r="B33" s="115" t="s">
        <v>73</v>
      </c>
      <c r="C33" s="116">
        <f>140000/36</f>
        <v>3888.8888888888887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4" spans="1:29" s="114" customFormat="1" ht="48" x14ac:dyDescent="0.2">
      <c r="A34" s="167"/>
      <c r="B34" s="115" t="s">
        <v>74</v>
      </c>
      <c r="C34" s="116">
        <f>94000/12</f>
        <v>7833.333333333333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9" s="114" customFormat="1" ht="26.45" customHeight="1" x14ac:dyDescent="0.2">
      <c r="A35" s="167"/>
      <c r="B35" s="112" t="s">
        <v>75</v>
      </c>
      <c r="C35" s="113">
        <f>63000/12</f>
        <v>5250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9" s="114" customFormat="1" ht="26.45" customHeight="1" x14ac:dyDescent="0.2">
      <c r="A36" s="167"/>
      <c r="B36" s="115" t="s">
        <v>76</v>
      </c>
      <c r="C36" s="116">
        <f>80000/12</f>
        <v>6666.666666666667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9" s="30" customFormat="1" ht="26.45" customHeight="1" x14ac:dyDescent="0.25">
      <c r="A37" s="167"/>
      <c r="B37" s="117" t="s">
        <v>77</v>
      </c>
      <c r="C37" s="118">
        <f>SUM(C28:C36)</f>
        <v>49717.972222222226</v>
      </c>
      <c r="AB37" s="29"/>
      <c r="AC37" s="29"/>
    </row>
    <row r="38" spans="1:29" ht="25.15" customHeight="1" x14ac:dyDescent="0.25">
      <c r="A38" s="167"/>
      <c r="B38" s="169" t="s">
        <v>27</v>
      </c>
      <c r="C38" s="170"/>
    </row>
    <row r="39" spans="1:29" ht="25.15" customHeight="1" x14ac:dyDescent="0.25">
      <c r="A39" s="167"/>
      <c r="B39" s="112" t="s">
        <v>78</v>
      </c>
      <c r="C39" s="113">
        <v>1000</v>
      </c>
    </row>
    <row r="40" spans="1:29" ht="25.15" customHeight="1" x14ac:dyDescent="0.25">
      <c r="A40" s="167"/>
      <c r="B40" s="112" t="s">
        <v>79</v>
      </c>
      <c r="C40" s="113">
        <f>29400/12</f>
        <v>2450</v>
      </c>
    </row>
    <row r="41" spans="1:29" ht="25.15" customHeight="1" x14ac:dyDescent="0.25">
      <c r="A41" s="167"/>
      <c r="B41" s="119" t="s">
        <v>80</v>
      </c>
      <c r="C41" s="120">
        <f>0.8*B6</f>
        <v>20658.64</v>
      </c>
    </row>
    <row r="42" spans="1:29" ht="25.15" customHeight="1" x14ac:dyDescent="0.25">
      <c r="A42" s="168"/>
      <c r="B42" s="117" t="s">
        <v>77</v>
      </c>
      <c r="C42" s="118">
        <f>SUM(C39:C41)</f>
        <v>24108.639999999999</v>
      </c>
    </row>
  </sheetData>
  <mergeCells count="13">
    <mergeCell ref="T11:T13"/>
    <mergeCell ref="Q11:Q13"/>
    <mergeCell ref="P11:P13"/>
    <mergeCell ref="J11:J13"/>
    <mergeCell ref="R11:R13"/>
    <mergeCell ref="S11:S13"/>
    <mergeCell ref="A11:A13"/>
    <mergeCell ref="M11:M13"/>
    <mergeCell ref="N11:N13"/>
    <mergeCell ref="O11:O13"/>
    <mergeCell ref="A26:A42"/>
    <mergeCell ref="B27:C27"/>
    <mergeCell ref="B38:C38"/>
  </mergeCells>
  <pageMargins left="0.31496062992125984" right="0.31496062992125984" top="0.35433070866141736" bottom="0.15748031496062992" header="0.31496062992125984" footer="0.31496062992125984"/>
  <pageSetup paperSize="9" scale="70" firstPageNumber="429496729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10" sqref="A10:B10"/>
    </sheetView>
  </sheetViews>
  <sheetFormatPr defaultColWidth="8.85546875" defaultRowHeight="15" x14ac:dyDescent="0.25"/>
  <cols>
    <col min="1" max="1" width="23.42578125" style="30" customWidth="1"/>
    <col min="2" max="2" width="26.42578125" style="30" customWidth="1"/>
    <col min="3" max="4" width="9" style="30" customWidth="1"/>
    <col min="5" max="5" width="10.5703125" style="30" customWidth="1"/>
    <col min="6" max="6" width="22.7109375" style="30" customWidth="1"/>
    <col min="7" max="10" width="14.42578125" style="30" customWidth="1"/>
    <col min="11" max="11" width="14.7109375" style="30" customWidth="1"/>
    <col min="12" max="12" width="11.42578125" style="30" customWidth="1"/>
    <col min="13" max="13" width="13.85546875" style="30" customWidth="1"/>
    <col min="14" max="14" width="13" style="30" bestFit="1" customWidth="1"/>
    <col min="15" max="16384" width="8.85546875" style="30"/>
  </cols>
  <sheetData>
    <row r="1" spans="1:14" x14ac:dyDescent="0.25">
      <c r="A1" s="40" t="s">
        <v>81</v>
      </c>
    </row>
    <row r="3" spans="1:14" s="37" customFormat="1" ht="12.75" x14ac:dyDescent="0.2">
      <c r="A3" s="121" t="s">
        <v>82</v>
      </c>
    </row>
    <row r="4" spans="1:14" s="37" customFormat="1" ht="25.5" x14ac:dyDescent="0.2">
      <c r="A4" s="37" t="s">
        <v>36</v>
      </c>
      <c r="B4" s="122">
        <v>25823.3</v>
      </c>
      <c r="C4" s="123"/>
      <c r="F4" s="124"/>
      <c r="G4" s="125" t="s">
        <v>83</v>
      </c>
      <c r="H4" s="126" t="s">
        <v>84</v>
      </c>
      <c r="I4" s="127" t="s">
        <v>85</v>
      </c>
      <c r="J4" s="128" t="s">
        <v>86</v>
      </c>
    </row>
    <row r="5" spans="1:14" s="37" customFormat="1" ht="12.75" x14ac:dyDescent="0.2">
      <c r="A5" s="37" t="s">
        <v>37</v>
      </c>
      <c r="B5" s="122">
        <v>0</v>
      </c>
      <c r="C5" s="123"/>
      <c r="F5" s="129" t="s">
        <v>87</v>
      </c>
      <c r="G5" s="130">
        <v>6</v>
      </c>
      <c r="H5" s="131">
        <v>21</v>
      </c>
      <c r="I5" s="131">
        <v>1000</v>
      </c>
      <c r="J5" s="132">
        <v>1.6</v>
      </c>
    </row>
    <row r="6" spans="1:14" s="37" customFormat="1" ht="12.75" x14ac:dyDescent="0.2">
      <c r="A6" s="37" t="s">
        <v>88</v>
      </c>
      <c r="B6" s="122">
        <v>0</v>
      </c>
      <c r="C6" s="123"/>
      <c r="F6" s="133" t="s">
        <v>89</v>
      </c>
      <c r="G6" s="134">
        <v>6</v>
      </c>
      <c r="H6" s="135">
        <v>21</v>
      </c>
      <c r="I6" s="135">
        <v>400</v>
      </c>
      <c r="J6" s="136">
        <v>1.6</v>
      </c>
    </row>
    <row r="7" spans="1:14" s="37" customFormat="1" ht="12.75" x14ac:dyDescent="0.2">
      <c r="B7" s="38">
        <f>SUM(B4:B6)</f>
        <v>25823.3</v>
      </c>
    </row>
    <row r="8" spans="1:14" s="37" customFormat="1" ht="12.75" x14ac:dyDescent="0.2"/>
    <row r="9" spans="1:14" s="37" customFormat="1" x14ac:dyDescent="0.25">
      <c r="B9" s="38"/>
      <c r="F9" s="30"/>
      <c r="G9" s="30"/>
      <c r="H9" s="30"/>
      <c r="I9" s="30"/>
      <c r="J9" s="30"/>
    </row>
    <row r="10" spans="1:14" s="37" customFormat="1" x14ac:dyDescent="0.25">
      <c r="A10" s="37" t="s">
        <v>90</v>
      </c>
      <c r="B10" s="122">
        <v>1165.0999999999999</v>
      </c>
      <c r="G10" s="30"/>
      <c r="H10" s="30"/>
      <c r="I10" s="137"/>
      <c r="J10" s="137"/>
    </row>
    <row r="11" spans="1:14" x14ac:dyDescent="0.25">
      <c r="F11" s="137"/>
      <c r="G11" s="137"/>
      <c r="H11" s="137"/>
      <c r="I11" s="138"/>
      <c r="J11" s="139"/>
    </row>
    <row r="12" spans="1:14" x14ac:dyDescent="0.25">
      <c r="A12" s="40" t="s">
        <v>91</v>
      </c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s="137" customFormat="1" ht="12.75" x14ac:dyDescent="0.2">
      <c r="A13" s="180" t="s">
        <v>92</v>
      </c>
      <c r="B13" s="181"/>
      <c r="C13" s="181"/>
      <c r="D13" s="181"/>
      <c r="E13" s="140">
        <v>6017.79</v>
      </c>
      <c r="F13" s="139"/>
    </row>
    <row r="14" spans="1:14" s="137" customFormat="1" ht="12.75" x14ac:dyDescent="0.2">
      <c r="A14" s="182" t="s">
        <v>93</v>
      </c>
      <c r="B14" s="183"/>
      <c r="C14" s="183"/>
      <c r="D14" s="183"/>
      <c r="E14" s="141">
        <v>4.4999999999999998E-2</v>
      </c>
      <c r="F14" s="138"/>
    </row>
    <row r="15" spans="1:14" s="137" customFormat="1" ht="12.75" x14ac:dyDescent="0.2">
      <c r="A15" s="182" t="s">
        <v>94</v>
      </c>
      <c r="B15" s="183"/>
      <c r="C15" s="183"/>
      <c r="D15" s="183"/>
      <c r="E15" s="141">
        <f>G5</f>
        <v>6</v>
      </c>
      <c r="G15" s="142"/>
      <c r="H15" s="139"/>
      <c r="I15" s="143"/>
      <c r="J15" s="142"/>
    </row>
    <row r="16" spans="1:14" s="137" customFormat="1" ht="12.75" x14ac:dyDescent="0.2">
      <c r="A16" s="184" t="s">
        <v>95</v>
      </c>
      <c r="B16" s="185"/>
      <c r="C16" s="185"/>
      <c r="D16" s="185"/>
      <c r="E16" s="144">
        <f>H5</f>
        <v>21</v>
      </c>
      <c r="G16" s="142"/>
      <c r="H16" s="139"/>
      <c r="I16" s="143"/>
      <c r="J16" s="142"/>
    </row>
    <row r="17" spans="1:13" s="137" customFormat="1" ht="22.15" customHeight="1" x14ac:dyDescent="0.2">
      <c r="A17" s="145" t="s">
        <v>96</v>
      </c>
      <c r="B17" s="146"/>
      <c r="C17" s="146"/>
      <c r="D17" s="146"/>
      <c r="E17" s="147">
        <f>E13*(1+E14*(E16-2))*E15</f>
        <v>66978.002699999997</v>
      </c>
      <c r="F17" s="148"/>
      <c r="G17" s="142"/>
      <c r="H17" s="139"/>
      <c r="I17" s="143"/>
      <c r="J17" s="142"/>
      <c r="K17" s="142"/>
    </row>
    <row r="18" spans="1:13" s="137" customFormat="1" ht="12.75" x14ac:dyDescent="0.2">
      <c r="B18" s="139"/>
      <c r="F18" s="143"/>
      <c r="G18" s="142"/>
      <c r="H18" s="139"/>
      <c r="I18" s="143"/>
      <c r="J18" s="142"/>
      <c r="K18" s="142"/>
    </row>
    <row r="19" spans="1:13" s="137" customFormat="1" ht="12.75" x14ac:dyDescent="0.2">
      <c r="B19" s="139"/>
      <c r="F19" s="143"/>
      <c r="G19" s="142"/>
      <c r="H19" s="139"/>
      <c r="I19" s="143"/>
      <c r="J19" s="142"/>
      <c r="K19" s="142"/>
    </row>
    <row r="20" spans="1:13" s="137" customFormat="1" ht="12.75" x14ac:dyDescent="0.2">
      <c r="I20" s="138"/>
    </row>
    <row r="21" spans="1:13" s="137" customFormat="1" ht="14.25" x14ac:dyDescent="0.2">
      <c r="A21" s="40" t="s">
        <v>97</v>
      </c>
    </row>
    <row r="22" spans="1:13" s="137" customFormat="1" ht="12.75" x14ac:dyDescent="0.2">
      <c r="A22" s="180" t="s">
        <v>92</v>
      </c>
      <c r="B22" s="181"/>
      <c r="C22" s="181"/>
      <c r="D22" s="181"/>
      <c r="E22" s="140">
        <v>6017.79</v>
      </c>
      <c r="F22" s="139"/>
    </row>
    <row r="23" spans="1:13" s="137" customFormat="1" ht="12.75" x14ac:dyDescent="0.2">
      <c r="A23" s="182" t="s">
        <v>93</v>
      </c>
      <c r="B23" s="183"/>
      <c r="C23" s="183"/>
      <c r="D23" s="183"/>
      <c r="E23" s="141">
        <v>4.4999999999999998E-2</v>
      </c>
      <c r="F23" s="138"/>
    </row>
    <row r="24" spans="1:13" s="137" customFormat="1" ht="12.75" x14ac:dyDescent="0.2">
      <c r="A24" s="182" t="s">
        <v>94</v>
      </c>
      <c r="B24" s="183"/>
      <c r="C24" s="183"/>
      <c r="D24" s="183"/>
      <c r="E24" s="141">
        <f>G6</f>
        <v>6</v>
      </c>
    </row>
    <row r="25" spans="1:13" s="137" customFormat="1" ht="12.75" x14ac:dyDescent="0.2">
      <c r="A25" s="184" t="s">
        <v>95</v>
      </c>
      <c r="B25" s="185"/>
      <c r="C25" s="185"/>
      <c r="D25" s="185"/>
      <c r="E25" s="144">
        <f>H6</f>
        <v>21</v>
      </c>
    </row>
    <row r="26" spans="1:13" s="137" customFormat="1" ht="22.15" customHeight="1" x14ac:dyDescent="0.2">
      <c r="A26" s="145" t="s">
        <v>96</v>
      </c>
      <c r="B26" s="146"/>
      <c r="C26" s="146"/>
      <c r="D26" s="146"/>
      <c r="E26" s="147">
        <f>E22*(1+E23*(E25-2))*E24</f>
        <v>66978.002699999997</v>
      </c>
      <c r="F26" s="148"/>
    </row>
    <row r="27" spans="1:13" s="137" customFormat="1" ht="12.75" x14ac:dyDescent="0.2">
      <c r="F27" s="143"/>
    </row>
    <row r="28" spans="1:13" s="137" customFormat="1" ht="12.75" x14ac:dyDescent="0.2">
      <c r="I28" s="138"/>
    </row>
    <row r="29" spans="1:13" x14ac:dyDescent="0.25">
      <c r="F29" s="137"/>
      <c r="G29" s="142"/>
      <c r="H29" s="149"/>
      <c r="I29" s="149"/>
      <c r="J29" s="142"/>
    </row>
    <row r="30" spans="1:13" s="37" customFormat="1" ht="12.75" x14ac:dyDescent="0.2">
      <c r="A30" s="121" t="s">
        <v>98</v>
      </c>
      <c r="E30" s="38">
        <f>E17+E26</f>
        <v>133956.00539999999</v>
      </c>
      <c r="G30" s="150"/>
      <c r="H30" s="138"/>
      <c r="I30" s="138"/>
      <c r="J30" s="150"/>
    </row>
    <row r="31" spans="1:13" s="149" customFormat="1" x14ac:dyDescent="0.25">
      <c r="A31" s="151"/>
      <c r="B31" s="138"/>
      <c r="C31" s="152"/>
      <c r="E31" s="137"/>
      <c r="F31" s="30"/>
      <c r="G31" s="30"/>
      <c r="H31" s="30"/>
      <c r="I31" s="30"/>
      <c r="J31" s="30"/>
      <c r="K31" s="142"/>
    </row>
    <row r="32" spans="1:13" s="153" customFormat="1" x14ac:dyDescent="0.25">
      <c r="A32" s="154" t="s">
        <v>99</v>
      </c>
      <c r="E32" s="138">
        <f>E30/(B4+B5-B10)</f>
        <v>5.432513541134389</v>
      </c>
      <c r="F32" s="149"/>
      <c r="G32" s="30"/>
      <c r="H32" s="30"/>
      <c r="I32" s="30"/>
      <c r="J32" s="30"/>
      <c r="K32" s="150"/>
      <c r="M32" s="138"/>
    </row>
    <row r="33" spans="6:6" x14ac:dyDescent="0.25">
      <c r="F33" s="138"/>
    </row>
  </sheetData>
  <mergeCells count="8">
    <mergeCell ref="A22:D22"/>
    <mergeCell ref="A23:D23"/>
    <mergeCell ref="A24:D24"/>
    <mergeCell ref="A25:D25"/>
    <mergeCell ref="A13:D13"/>
    <mergeCell ref="A14:D14"/>
    <mergeCell ref="A15:D15"/>
    <mergeCell ref="A16:D16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Тарифы для ОСС_жилье</vt:lpstr>
      <vt:lpstr>Разъяснения</vt:lpstr>
      <vt:lpstr>Лифты_формула</vt:lpstr>
      <vt:lpstr>'Тарифы для ОСС_жилье'!Область_печати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</dc:creator>
  <cp:lastModifiedBy>admin</cp:lastModifiedBy>
  <cp:revision>1</cp:revision>
  <dcterms:created xsi:type="dcterms:W3CDTF">2022-04-12T09:55:33Z</dcterms:created>
  <dcterms:modified xsi:type="dcterms:W3CDTF">2022-10-06T12:44:23Z</dcterms:modified>
</cp:coreProperties>
</file>